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16" yWindow="216" windowWidth="14856" windowHeight="12768"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2025'!$A$18:$O$685</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2025'!$18:$18</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2025'!$A$1:$G$685</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297" i="7" l="1"/>
  <c r="G299" i="7"/>
  <c r="G654" i="7" l="1"/>
  <c r="G655" i="7"/>
  <c r="G428" i="7" l="1"/>
  <c r="G426" i="7"/>
  <c r="G629" i="7" l="1"/>
  <c r="G500" i="7"/>
  <c r="G491" i="7"/>
  <c r="G470" i="7"/>
  <c r="G345" i="7" l="1"/>
  <c r="G343" i="7"/>
  <c r="G585" i="7" l="1"/>
  <c r="G594" i="7"/>
  <c r="G363" i="7"/>
  <c r="G264" i="7"/>
  <c r="G245" i="7"/>
  <c r="G265" i="7"/>
  <c r="G506" i="7"/>
  <c r="G239" i="7"/>
  <c r="G676" i="7"/>
  <c r="G672" i="7"/>
  <c r="G505" i="7"/>
  <c r="G223" i="7"/>
  <c r="G228" i="7"/>
  <c r="G34" i="7"/>
  <c r="G33" i="7"/>
  <c r="G29" i="7"/>
  <c r="G24" i="7"/>
  <c r="G91" i="7"/>
  <c r="G60" i="7"/>
  <c r="G39" i="7"/>
  <c r="G280" i="7"/>
  <c r="G286" i="7"/>
  <c r="G305" i="7"/>
  <c r="G303" i="7"/>
  <c r="G301" i="7"/>
  <c r="G140" i="7"/>
  <c r="G142" i="7"/>
  <c r="G155" i="7"/>
  <c r="G126" i="7"/>
  <c r="G659" i="7"/>
  <c r="G675" i="7"/>
  <c r="G579" i="7"/>
  <c r="G332" i="7"/>
  <c r="G628" i="7"/>
  <c r="G138" i="7" l="1"/>
  <c r="G134" i="7"/>
  <c r="G115" i="7" l="1"/>
  <c r="G201" i="7" l="1"/>
  <c r="G209" i="7"/>
  <c r="G213" i="7"/>
  <c r="G194" i="7"/>
  <c r="G204" i="7"/>
  <c r="G195" i="7"/>
  <c r="G555" i="7"/>
  <c r="G553" i="7"/>
  <c r="G212" i="7"/>
  <c r="G291" i="7" l="1"/>
  <c r="G290" i="7"/>
  <c r="G292" i="7"/>
  <c r="G475" i="7"/>
  <c r="G320" i="7" l="1"/>
  <c r="G327" i="7"/>
  <c r="G188" i="7" l="1"/>
  <c r="G185" i="7"/>
  <c r="G451" i="7"/>
  <c r="G333" i="7"/>
  <c r="G574" i="7" l="1"/>
  <c r="G674" i="7" l="1"/>
  <c r="G255" i="7" l="1"/>
  <c r="G665" i="7" l="1"/>
  <c r="G660" i="7"/>
  <c r="G601" i="7"/>
  <c r="G588" i="7"/>
  <c r="G529" i="7"/>
  <c r="G442" i="7" l="1"/>
  <c r="G429" i="7"/>
  <c r="G434" i="7"/>
  <c r="G427" i="7"/>
  <c r="G422" i="7"/>
  <c r="G413" i="7"/>
  <c r="G353" i="7"/>
  <c r="G312" i="7"/>
  <c r="G310" i="7"/>
  <c r="G307" i="7"/>
  <c r="G283" i="7"/>
  <c r="G186" i="7"/>
  <c r="G147" i="7"/>
  <c r="G141" i="7"/>
  <c r="G143" i="7" l="1"/>
  <c r="G132" i="7"/>
  <c r="G36" i="7" l="1"/>
  <c r="G135" i="7"/>
  <c r="G566" i="7"/>
  <c r="G560" i="7"/>
  <c r="G653" i="7"/>
  <c r="G652" i="7" s="1"/>
  <c r="G217" i="7" l="1"/>
  <c r="G97" i="7" l="1"/>
  <c r="G673" i="7" l="1"/>
  <c r="G321" i="7" l="1"/>
  <c r="G567" i="7" l="1"/>
  <c r="G281" i="7"/>
  <c r="G622" i="7"/>
  <c r="G621" i="7" s="1"/>
  <c r="G627" i="7"/>
  <c r="G626" i="7" s="1"/>
  <c r="G632" i="7"/>
  <c r="G634" i="7"/>
  <c r="G636" i="7"/>
  <c r="G638" i="7"/>
  <c r="G640" i="7"/>
  <c r="G643" i="7"/>
  <c r="G646" i="7"/>
  <c r="G650" i="7"/>
  <c r="G649" i="7" s="1"/>
  <c r="G658" i="7"/>
  <c r="G657" i="7" s="1"/>
  <c r="G656" i="7" s="1"/>
  <c r="G663" i="7"/>
  <c r="G662" i="7" s="1"/>
  <c r="G661" i="7" s="1"/>
  <c r="G670" i="7"/>
  <c r="G669" i="7" s="1"/>
  <c r="G668" i="7" s="1"/>
  <c r="G667" i="7" s="1"/>
  <c r="G680" i="7"/>
  <c r="G679" i="7" s="1"/>
  <c r="G678" i="7" s="1"/>
  <c r="G618" i="7"/>
  <c r="G631" i="7" l="1"/>
  <c r="G625" i="7" s="1"/>
  <c r="G614" i="7" l="1"/>
  <c r="G605" i="7"/>
  <c r="G455" i="7"/>
  <c r="G248" i="7"/>
  <c r="G153" i="7"/>
  <c r="G124" i="7"/>
  <c r="G127" i="7"/>
  <c r="G96" i="7"/>
  <c r="G90" i="7"/>
  <c r="G55" i="7"/>
  <c r="G331" i="7" l="1"/>
  <c r="G603" i="7"/>
  <c r="G565" i="7"/>
  <c r="G564" i="7"/>
  <c r="G531" i="7"/>
  <c r="G507" i="7"/>
  <c r="G460" i="7"/>
  <c r="G463" i="7"/>
  <c r="G602" i="7" l="1"/>
  <c r="G459" i="7"/>
  <c r="G461" i="7"/>
  <c r="G432" i="7"/>
  <c r="G458" i="7" l="1"/>
  <c r="G366" i="7"/>
  <c r="G368" i="7"/>
  <c r="G341" i="7"/>
  <c r="G296" i="7"/>
  <c r="G365" i="7" l="1"/>
  <c r="G262" i="7"/>
  <c r="G261" i="7" s="1"/>
  <c r="G259" i="7"/>
  <c r="G247" i="7"/>
  <c r="G246" i="7" s="1"/>
  <c r="G244" i="7"/>
  <c r="G242" i="7"/>
  <c r="G240" i="7"/>
  <c r="G235" i="7"/>
  <c r="G208" i="7"/>
  <c r="G199" i="7"/>
  <c r="G198" i="7"/>
  <c r="G151" i="7"/>
  <c r="G149" i="7" s="1"/>
  <c r="G197" i="7" l="1"/>
  <c r="G438" i="7"/>
  <c r="G437" i="7" s="1"/>
  <c r="G219" i="7"/>
  <c r="G215" i="7"/>
  <c r="G214" i="7" s="1"/>
  <c r="G227" i="7"/>
  <c r="G226" i="7" s="1"/>
  <c r="G225" i="7"/>
  <c r="G224" i="7" s="1"/>
  <c r="G78" i="7"/>
  <c r="G146" i="7"/>
  <c r="G165" i="7"/>
  <c r="G164" i="7" s="1"/>
  <c r="G163" i="7" s="1"/>
  <c r="G162" i="7"/>
  <c r="G157" i="7" l="1"/>
  <c r="G541" i="7"/>
  <c r="G169" i="7"/>
  <c r="G168" i="7" s="1"/>
  <c r="G512" i="7" l="1"/>
  <c r="G511" i="7" s="1"/>
  <c r="G510" i="7" s="1"/>
  <c r="G509" i="7" s="1"/>
  <c r="G476" i="7"/>
  <c r="G221" i="7"/>
  <c r="G220" i="7" s="1"/>
  <c r="G373" i="7" l="1"/>
  <c r="G372" i="7" s="1"/>
  <c r="G612" i="7" l="1"/>
  <c r="G447" i="7" l="1"/>
  <c r="G358" i="7" l="1"/>
  <c r="G569" i="7"/>
  <c r="G206" i="7"/>
  <c r="G187" i="7"/>
  <c r="G54" i="7"/>
  <c r="G52" i="7" s="1"/>
  <c r="G26" i="7"/>
  <c r="G326" i="7"/>
  <c r="G339" i="7"/>
  <c r="G610" i="7" l="1"/>
  <c r="G609" i="7" s="1"/>
  <c r="G608" i="7" s="1"/>
  <c r="G452" i="7"/>
  <c r="G607" i="7" l="1"/>
  <c r="G371" i="7"/>
  <c r="G370" i="7" s="1"/>
  <c r="G161" i="7" l="1"/>
  <c r="G160" i="7" s="1"/>
  <c r="G67" i="7" l="1"/>
  <c r="G575" i="7" l="1"/>
  <c r="G346" i="7" l="1"/>
  <c r="G32" i="7" l="1"/>
  <c r="G433" i="7" l="1"/>
  <c r="G435" i="7"/>
  <c r="G211" i="7" l="1"/>
  <c r="G431" i="7" l="1"/>
  <c r="G425" i="7"/>
  <c r="G421" i="7" s="1"/>
  <c r="G277" i="7" l="1"/>
  <c r="G563" i="7" l="1"/>
  <c r="G105" i="7" l="1"/>
  <c r="G412" i="7" l="1"/>
  <c r="G133" i="7" l="1"/>
  <c r="G137" i="7"/>
  <c r="G145" i="7" l="1"/>
  <c r="G441" i="7" l="1"/>
  <c r="G440" i="7" s="1"/>
  <c r="G439" i="7" s="1"/>
  <c r="G325" i="7" l="1"/>
  <c r="G324" i="7" s="1"/>
  <c r="G319" i="7"/>
  <c r="G318" i="7" s="1"/>
  <c r="G317" i="7" s="1"/>
  <c r="G302" i="7"/>
  <c r="G304" i="7"/>
  <c r="G336" i="7"/>
  <c r="G23" i="7"/>
  <c r="G298" i="7" l="1"/>
  <c r="G300" i="7"/>
  <c r="G295" i="7" l="1"/>
  <c r="G129" i="7"/>
  <c r="G504" i="7" l="1"/>
  <c r="G503" i="7" s="1"/>
  <c r="G203" i="7" l="1"/>
  <c r="G77" i="7" l="1"/>
  <c r="G119" i="7" l="1"/>
  <c r="G117" i="7" l="1"/>
  <c r="G114" i="7" s="1"/>
  <c r="G289" i="7"/>
  <c r="G517" i="7"/>
  <c r="G516" i="7" s="1"/>
  <c r="G59" i="7" l="1"/>
  <c r="G474" i="7" l="1"/>
  <c r="G202" i="7" l="1"/>
  <c r="G95" i="7" l="1"/>
  <c r="G315" i="7" l="1"/>
  <c r="G314" i="7"/>
  <c r="G294" i="7" s="1"/>
  <c r="G620" i="7" l="1"/>
  <c r="G617" i="7"/>
  <c r="G616" i="7" s="1"/>
  <c r="G600" i="7"/>
  <c r="G599" i="7" s="1"/>
  <c r="G597" i="7"/>
  <c r="G596" i="7" s="1"/>
  <c r="G592" i="7"/>
  <c r="G590" i="7"/>
  <c r="G586" i="7"/>
  <c r="G581" i="7"/>
  <c r="G580" i="7" s="1"/>
  <c r="G578" i="7"/>
  <c r="G577" i="7" s="1"/>
  <c r="G573" i="7"/>
  <c r="G572" i="7" s="1"/>
  <c r="G568" i="7"/>
  <c r="G562" i="7" s="1"/>
  <c r="G559" i="7"/>
  <c r="G558" i="7" s="1"/>
  <c r="G557" i="7" s="1"/>
  <c r="G552" i="7"/>
  <c r="G548" i="7"/>
  <c r="G547" i="7" s="1"/>
  <c r="G546" i="7" s="1"/>
  <c r="G544" i="7"/>
  <c r="G543" i="7" s="1"/>
  <c r="G542" i="7" s="1"/>
  <c r="G540" i="7"/>
  <c r="G539" i="7" s="1"/>
  <c r="G538" i="7" s="1"/>
  <c r="G534" i="7"/>
  <c r="G533" i="7" s="1"/>
  <c r="G528" i="7"/>
  <c r="G527" i="7" s="1"/>
  <c r="G525" i="7"/>
  <c r="G523" i="7"/>
  <c r="G520" i="7"/>
  <c r="G502" i="7"/>
  <c r="G498" i="7"/>
  <c r="G497" i="7" s="1"/>
  <c r="G493" i="7"/>
  <c r="G492" i="7" s="1"/>
  <c r="G489" i="7"/>
  <c r="G488" i="7" s="1"/>
  <c r="G485" i="7"/>
  <c r="G483" i="7"/>
  <c r="G479" i="7"/>
  <c r="G472" i="7"/>
  <c r="G468" i="7"/>
  <c r="G454" i="7"/>
  <c r="G453" i="7" s="1"/>
  <c r="G450" i="7"/>
  <c r="G449" i="7" s="1"/>
  <c r="G448" i="7" s="1"/>
  <c r="G446" i="7"/>
  <c r="G445" i="7" s="1"/>
  <c r="G444" i="7" s="1"/>
  <c r="G418" i="7"/>
  <c r="G416" i="7"/>
  <c r="G414" i="7"/>
  <c r="G408" i="7"/>
  <c r="G405" i="7"/>
  <c r="G399" i="7"/>
  <c r="G396" i="7"/>
  <c r="G393" i="7"/>
  <c r="G391" i="7"/>
  <c r="G389" i="7"/>
  <c r="G387" i="7"/>
  <c r="G385" i="7"/>
  <c r="G382" i="7"/>
  <c r="G380" i="7"/>
  <c r="G361" i="7"/>
  <c r="G360" i="7" s="1"/>
  <c r="G356" i="7"/>
  <c r="G354" i="7"/>
  <c r="G351" i="7"/>
  <c r="G344" i="7"/>
  <c r="G342" i="7"/>
  <c r="G340" i="7"/>
  <c r="G338" i="7"/>
  <c r="G288" i="7"/>
  <c r="G284" i="7"/>
  <c r="G274" i="7"/>
  <c r="G271" i="7"/>
  <c r="G269" i="7"/>
  <c r="G257" i="7"/>
  <c r="G253" i="7"/>
  <c r="G238" i="7"/>
  <c r="G233" i="7"/>
  <c r="G218" i="7"/>
  <c r="G216" i="7"/>
  <c r="G200" i="7"/>
  <c r="G193" i="7" s="1"/>
  <c r="G189" i="7"/>
  <c r="G191" i="7"/>
  <c r="G184" i="7"/>
  <c r="G181" i="7"/>
  <c r="G179" i="7"/>
  <c r="G176" i="7"/>
  <c r="G158" i="7"/>
  <c r="G156" i="7"/>
  <c r="G139" i="7"/>
  <c r="G131" i="7"/>
  <c r="G112" i="7"/>
  <c r="G111" i="7" s="1"/>
  <c r="G108" i="7"/>
  <c r="G104" i="7" s="1"/>
  <c r="G102" i="7"/>
  <c r="G101" i="7" s="1"/>
  <c r="G99" i="7"/>
  <c r="G98" i="7" s="1"/>
  <c r="G79" i="7"/>
  <c r="G74" i="7"/>
  <c r="G71" i="7"/>
  <c r="G69" i="7"/>
  <c r="G65" i="7"/>
  <c r="G63" i="7"/>
  <c r="G61" i="7"/>
  <c r="G48" i="7"/>
  <c r="G44" i="7"/>
  <c r="G42" i="7"/>
  <c r="G40" i="7"/>
  <c r="G38" i="7"/>
  <c r="G28" i="7"/>
  <c r="G92" i="7"/>
  <c r="G84" i="7"/>
  <c r="G82" i="7"/>
  <c r="G25" i="7"/>
  <c r="G22" i="7" s="1"/>
  <c r="G16" i="5"/>
  <c r="G129" i="5"/>
  <c r="G134" i="5"/>
  <c r="G123" i="7" l="1"/>
  <c r="G584" i="7"/>
  <c r="G232" i="7"/>
  <c r="G231" i="7" s="1"/>
  <c r="G467" i="7"/>
  <c r="G478" i="7"/>
  <c r="G207" i="7"/>
  <c r="G487" i="7"/>
  <c r="G379" i="7"/>
  <c r="G378" i="7" s="1"/>
  <c r="G377" i="7" s="1"/>
  <c r="G268" i="7"/>
  <c r="G267" i="7" s="1"/>
  <c r="G89" i="7"/>
  <c r="G537" i="7"/>
  <c r="G252" i="7"/>
  <c r="G251" i="7" s="1"/>
  <c r="G81" i="7"/>
  <c r="G58" i="7"/>
  <c r="G27" i="7"/>
  <c r="G350" i="7"/>
  <c r="G443" i="7"/>
  <c r="G167" i="7"/>
  <c r="G166" i="7" s="1"/>
  <c r="G335" i="7"/>
  <c r="G551" i="7"/>
  <c r="G550" i="7" s="1"/>
  <c r="G404" i="7"/>
  <c r="G403" i="7" s="1"/>
  <c r="G152" i="7"/>
  <c r="G420" i="7"/>
  <c r="G561" i="7"/>
  <c r="G556" i="7" s="1"/>
  <c r="G183" i="7"/>
  <c r="G51" i="7"/>
  <c r="G175" i="7"/>
  <c r="G519" i="7"/>
  <c r="G330" i="7"/>
  <c r="G496" i="7"/>
  <c r="G571" i="7"/>
  <c r="G570" i="7" s="1"/>
  <c r="G122" i="7" l="1"/>
  <c r="G121" i="7" s="1"/>
  <c r="G466" i="7"/>
  <c r="G465" i="7" s="1"/>
  <c r="G230" i="7"/>
  <c r="G174" i="7"/>
  <c r="G173" i="7" s="1"/>
  <c r="G21" i="7"/>
  <c r="G20" i="7" s="1"/>
  <c r="G515" i="7"/>
  <c r="G514" i="7" s="1"/>
  <c r="G402" i="7"/>
  <c r="G583" i="7"/>
  <c r="G349" i="7"/>
  <c r="G348" i="7" s="1"/>
  <c r="G329" i="7"/>
  <c r="G328" i="7" s="1"/>
  <c r="G266" i="7"/>
  <c r="G19" i="7" l="1"/>
  <c r="G699" i="5"/>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<sst xmlns="http://schemas.openxmlformats.org/spreadsheetml/2006/main" count="10583" uniqueCount="718">
  <si>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</si>
  <si>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</si>
  <si>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</si>
  <si>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</si>
  <si>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</si>
  <si>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</si>
  <si>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</si>
  <si>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</si>
  <si>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</si>
  <si>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</si>
  <si>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</si>
  <si>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</si>
  <si>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</si>
  <si>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</si>
  <si>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</si>
  <si>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</si>
  <si>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</si>
  <si>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</si>
  <si>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</si>
  <si>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</si>
  <si>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</si>
  <si>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</si>
  <si>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</si>
  <si>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</si>
  <si>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</si>
  <si>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</si>
  <si>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</si>
  <si>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</si>
  <si>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</si>
  <si>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</si>
  <si>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</si>
  <si>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</si>
  <si>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</si>
  <si>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</si>
  <si>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</si>
  <si>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</si>
  <si>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</si>
  <si>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</si>
  <si>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</si>
  <si>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</si>
  <si>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</si>
  <si>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</si>
  <si>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</si>
  <si>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</si>
  <si>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</si>
  <si>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</si>
  <si>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</si>
  <si>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</si>
  <si>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</si>
  <si>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</si>
  <si>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</si>
  <si>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</si>
  <si>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</si>
  <si>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</si>
  <si>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</si>
  <si>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</si>
  <si>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</si>
  <si>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</si>
  <si>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</si>
  <si>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</si>
  <si>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</si>
  <si>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</si>
  <si>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</si>
  <si>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</si>
  <si>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</si>
  <si>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</si>
  <si>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</si>
  <si>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</si>
  <si>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</si>
  <si>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</si>
  <si>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</si>
  <si>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</si>
  <si>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</si>
  <si>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</si>
  <si>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</si>
  <si>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</si>
  <si>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</si>
  <si>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</si>
  <si>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</si>
  <si>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</si>
  <si>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</si>
  <si>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</si>
  <si>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</si>
  <si>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</si>
  <si>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</si>
  <si>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</si>
  <si>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</si>
  <si>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</si>
  <si>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</si>
  <si>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</si>
  <si>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</si>
  <si>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</si>
  <si>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</si>
  <si>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</si>
  <si>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</si>
  <si>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</si>
  <si>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</si>
  <si>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</si>
  <si>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</si>
  <si>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</si>
  <si>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</si>
  <si>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</si>
  <si>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</si>
  <si>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</si>
  <si>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</si>
  <si>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</si>
  <si>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</si>
  <si>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</si>
  <si>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</si>
  <si>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</si>
  <si>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</si>
  <si>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</si>
  <si>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</si>
  <si>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</si>
  <si>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</si>
  <si>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</si>
  <si>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</si>
  <si>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</si>
  <si>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</si>
  <si>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</si>
  <si>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</si>
  <si>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</si>
  <si>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</si>
  <si>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</si>
  <si>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</si>
  <si>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</si>
  <si>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</si>
  <si>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</si>
  <si>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</si>
  <si>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</si>
  <si>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</si>
  <si>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</si>
  <si>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</si>
  <si>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</si>
  <si>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</si>
  <si>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</si>
  <si>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</si>
  <si>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</si>
  <si>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</si>
  <si>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</si>
  <si>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</si>
  <si>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</si>
  <si>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</si>
  <si>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</si>
  <si>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</si>
  <si>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</si>
  <si>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</si>
  <si>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</si>
  <si>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</si>
  <si>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</si>
  <si>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</si>
  <si>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</si>
  <si>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</si>
  <si>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</si>
  <si>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</si>
  <si>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</si>
  <si>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</si>
  <si>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</si>
  <si>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</si>
  <si>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</si>
  <si>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</si>
  <si>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</si>
  <si>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</si>
  <si>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</si>
  <si>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</si>
  <si>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</si>
  <si>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</si>
  <si>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</si>
  <si>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</si>
  <si>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</si>
  <si>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</si>
  <si>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</si>
  <si>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</si>
  <si>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</si>
  <si>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</si>
  <si>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</si>
  <si>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</si>
  <si>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</si>
  <si>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</si>
  <si>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</si>
  <si>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</si>
  <si>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</si>
  <si>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</si>
  <si>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</si>
  <si>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</si>
  <si>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</si>
  <si>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</si>
  <si>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</si>
  <si>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</si>
  <si>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</si>
  <si>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</si>
  <si>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</si>
  <si>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</si>
  <si>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</si>
  <si>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</si>
  <si>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</si>
  <si>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</si>
  <si>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</si>
  <si>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</si>
  <si>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</si>
  <si>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</si>
  <si>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</si>
  <si>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</si>
  <si>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</si>
  <si>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</si>
  <si>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</si>
  <si>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</si>
  <si>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</si>
  <si>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</si>
  <si>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</si>
  <si>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</si>
  <si>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</si>
  <si>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</si>
  <si>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</si>
  <si>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</si>
  <si>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</si>
  <si>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</si>
  <si>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</si>
  <si>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</si>
  <si>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</si>
  <si>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</si>
  <si>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</si>
  <si>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</si>
  <si>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</si>
  <si>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</si>
  <si>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</si>
  <si>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</si>
  <si>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</si>
  <si>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</si>
  <si>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</si>
  <si>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</si>
  <si>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</si>
  <si>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</si>
  <si>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</si>
  <si>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</si>
  <si>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</si>
  <si>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</si>
  <si>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</si>
  <si>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</si>
  <si>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</si>
  <si>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</si>
  <si>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</si>
  <si>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</si>
  <si>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</si>
  <si>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</si>
  <si>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</si>
  <si>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</si>
  <si>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</si>
  <si>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</si>
  <si>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</si>
  <si>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</si>
  <si>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</si>
  <si>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</si>
  <si>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</si>
  <si>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</si>
  <si>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</si>
  <si>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</si>
  <si>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</si>
  <si>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</si>
  <si>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</si>
  <si>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</si>
  <si>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</si>
  <si>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</si>
  <si>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</si>
  <si>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</si>
  <si>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</si>
  <si>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</si>
  <si>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</si>
  <si>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</si>
  <si>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</si>
  <si>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</si>
  <si>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</si>
  <si>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</si>
  <si>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</si>
  <si>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</si>
  <si>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</si>
  <si>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</si>
  <si>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</si>
  <si>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</si>
  <si>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</si>
  <si>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</si>
  <si>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</si>
  <si>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</si>
  <si>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</si>
  <si>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</si>
  <si>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</si>
  <si>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</si>
  <si>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</si>
  <si>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</si>
  <si>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</si>
  <si>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</si>
  <si>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</si>
  <si>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</si>
  <si>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</si>
  <si>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</si>
  <si>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</si>
  <si>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</si>
  <si>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</si>
  <si>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</si>
  <si>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</si>
  <si>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</si>
  <si>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</si>
  <si>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</si>
  <si>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</si>
  <si>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</si>
  <si>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</si>
  <si>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</si>
  <si>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</si>
  <si>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</si>
  <si>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</si>
  <si>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</si>
  <si>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</si>
  <si>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</si>
  <si>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</si>
  <si>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</si>
  <si>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</si>
  <si>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</si>
  <si>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</si>
  <si>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</si>
  <si>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</si>
  <si>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</si>
  <si>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</si>
  <si>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</si>
  <si>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</si>
  <si>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</si>
  <si>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</si>
  <si>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</si>
  <si>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</si>
  <si>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</si>
  <si>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</si>
  <si>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</si>
  <si>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</si>
  <si>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</si>
  <si>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</si>
  <si>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</si>
  <si>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</si>
  <si>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</si>
  <si>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</si>
  <si>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</si>
  <si>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</si>
  <si>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</si>
  <si>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</si>
  <si>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</si>
  <si>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</si>
  <si>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</si>
  <si>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</si>
  <si>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</si>
  <si>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</si>
  <si>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</si>
  <si>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</si>
  <si>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</si>
  <si>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</si>
  <si>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</si>
  <si>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</si>
  <si>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</si>
  <si>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</si>
  <si>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</si>
  <si>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</si>
  <si>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</si>
  <si>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</si>
  <si>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</si>
  <si>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</si>
  <si>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</si>
  <si>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</si>
  <si>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</si>
  <si>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</si>
  <si>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</si>
  <si>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</si>
  <si>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</si>
  <si>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</si>
  <si>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</si>
  <si>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</si>
  <si>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</si>
  <si>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</si>
  <si>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</si>
  <si>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</si>
  <si>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</si>
  <si>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</si>
  <si>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</si>
  <si>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</si>
  <si>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</si>
  <si>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</si>
  <si>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</si>
  <si>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</si>
  <si>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</si>
  <si>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</si>
  <si>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</si>
  <si>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</si>
  <si>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</si>
  <si>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</si>
  <si>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</si>
  <si>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</si>
  <si>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</si>
  <si>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</si>
  <si>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</si>
  <si>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</si>
  <si>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</si>
  <si>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</si>
  <si>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</si>
  <si>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</si>
  <si>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</si>
  <si>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</si>
  <si>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</si>
  <si>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</si>
  <si>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</si>
  <si>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</si>
  <si>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</si>
  <si>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</si>
  <si>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</si>
  <si>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</si>
  <si>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</si>
  <si>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</si>
  <si>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</si>
  <si>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</si>
  <si>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</si>
  <si>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</si>
  <si>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</si>
  <si>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</si>
  <si>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</si>
  <si>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</si>
  <si>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</si>
  <si>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</si>
  <si>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</si>
  <si>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</si>
  <si>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</si>
  <si>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</si>
  <si>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</si>
  <si>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</si>
  <si>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</si>
  <si>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</si>
  <si>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</si>
  <si>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</si>
  <si>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</si>
  <si>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</si>
  <si>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</si>
  <si>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</si>
  <si>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</si>
  <si>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</si>
  <si>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</si>
  <si>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</si>
  <si>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</si>
  <si>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</si>
  <si>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</si>
  <si>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</si>
  <si>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</si>
  <si>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</si>
  <si>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</si>
  <si>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</si>
  <si>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</si>
  <si>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</si>
  <si>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</si>
  <si>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</si>
  <si>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</si>
  <si>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</si>
  <si>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</si>
  <si>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</si>
  <si>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</si>
  <si>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</si>
  <si>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</si>
  <si>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</si>
  <si>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</si>
  <si>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</si>
  <si>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</si>
  <si>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</si>
  <si>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</si>
  <si>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</si>
  <si>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</si>
  <si>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</si>
  <si>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</si>
  <si>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</si>
  <si>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</si>
  <si>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</si>
  <si>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</si>
  <si>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</si>
  <si>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</si>
  <si>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</si>
  <si>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</si>
  <si>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</si>
  <si>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</si>
  <si>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</si>
  <si>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</si>
  <si>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</si>
  <si>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</si>
  <si>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</si>
  <si>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</si>
  <si>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</si>
  <si>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</si>
  <si>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</si>
  <si>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</si>
  <si>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</si>
  <si>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</si>
  <si>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</si>
  <si>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</si>
  <si>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</si>
  <si>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</si>
  <si>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</si>
  <si>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</si>
  <si>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</si>
  <si>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</si>
  <si>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</si>
  <si>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</si>
  <si>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</si>
  <si>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</si>
  <si>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</si>
  <si>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</si>
  <si>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</si>
  <si>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</si>
  <si>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</si>
  <si>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</si>
  <si>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</si>
  <si>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</si>
  <si>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</si>
  <si>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</si>
  <si>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</si>
  <si>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</si>
  <si>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</si>
  <si>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</si>
  <si>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</si>
  <si>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</si>
  <si>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</si>
  <si>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</si>
  <si>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</si>
  <si>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</si>
  <si>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</si>
  <si>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</si>
  <si>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</si>
  <si>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</si>
  <si>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</si>
  <si>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</si>
  <si>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</si>
  <si>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</si>
  <si>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</si>
  <si>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</si>
  <si>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</si>
  <si>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</si>
  <si>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</si>
  <si>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</si>
  <si>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</si>
  <si>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</si>
  <si>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</si>
  <si>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</si>
  <si>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</si>
  <si>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</si>
  <si>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</si>
  <si>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</si>
  <si>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23040</t>
  </si>
  <si>
    <t>24320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</si>
  <si>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</si>
  <si>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</si>
  <si>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</si>
  <si>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</si>
  <si>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</si>
  <si>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</si>
  <si>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</si>
  <si>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</si>
  <si>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53032</t>
  </si>
  <si>
    <t>L3042</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</si>
  <si>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</si>
  <si>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</si>
  <si>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</si>
  <si>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</si>
  <si>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</si>
  <si>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21300</t>
  </si>
  <si>
    <t>24200</t>
  </si>
  <si>
    <t>Осуществление капитальных ремонтов, ремонтов и сносов зданий и сооружений подведомственных учреждений</t>
  </si>
  <si>
    <t>Ежегодные членские взносы</t>
  </si>
  <si>
    <t>23030</t>
  </si>
  <si>
    <t>24720</t>
  </si>
  <si>
    <t>Организация ритуальных услуг и содержание мест захоронения</t>
  </si>
  <si>
    <t>21400</t>
  </si>
  <si>
    <t>Модернизация систем водоснабжения и водоотведения</t>
  </si>
  <si>
    <t>24620</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</si>
  <si>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</si>
  <si>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</si>
  <si>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</si>
  <si>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</si>
  <si>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S1220</t>
  </si>
  <si>
    <t>S1200</t>
  </si>
  <si>
    <t>97510</t>
  </si>
  <si>
    <t>21290</t>
  </si>
  <si>
    <t>69210</t>
  </si>
  <si>
    <t>Обеспечение антитеррористической защищенности привокзальной площади города Туапсе</t>
  </si>
  <si>
    <t>Я5</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</si>
  <si>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</si>
  <si>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</si>
  <si>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</si>
  <si>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</si>
  <si>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</si>
  <si>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</si>
  <si>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</si>
  <si>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</si>
  <si>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</si>
  <si>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</si>
  <si>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25110</t>
  </si>
  <si>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</si>
  <si>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t>администрации Туапсинского</t>
  </si>
  <si>
    <t xml:space="preserve">муниципального округа   </t>
  </si>
  <si>
    <t>24210</t>
  </si>
  <si>
    <t>Подготовка к осенне-зимнему периоду</t>
  </si>
  <si>
    <t>S7510</t>
  </si>
  <si>
    <t>24982</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</si>
  <si>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</si>
  <si>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Ю4</t>
  </si>
  <si>
    <t>57500</t>
  </si>
  <si>
    <t>Реализация мероприятий по модернизации школьных систем образования</t>
  </si>
  <si>
    <t>21</t>
  </si>
  <si>
    <t>14</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</si>
  <si>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</si>
  <si>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</si>
  <si>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</si>
  <si>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</si>
  <si>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</si>
  <si>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</si>
  <si>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</si>
  <si>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</si>
  <si>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</si>
  <si>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</si>
  <si>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Обеспечение деятельности территориальных органов администрации Туапсинского муниципального округа</t>
  </si>
  <si>
    <t>24450</t>
  </si>
  <si>
    <t>20390</t>
  </si>
  <si>
    <t>И3</t>
  </si>
  <si>
    <t>51540</t>
  </si>
  <si>
    <t>55130</t>
  </si>
  <si>
    <t>SД060</t>
  </si>
  <si>
    <t>Реализация мероприятий по модернизации коммунальной инфраструктуры</t>
  </si>
  <si>
    <t>Поддержка творческой деятельности учреждений культуры</t>
  </si>
  <si>
    <t>24490</t>
  </si>
  <si>
    <t>24110</t>
  </si>
  <si>
    <t>Укрепление материально-технической базы учреждений культуры</t>
  </si>
  <si>
    <t>24530</t>
  </si>
  <si>
    <t>Сохранение, ремонт и благоустройство воинских захоронений на территории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</si>
  <si>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</si>
  <si>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Развитие сети учреждений культурно-досугового типа</t>
  </si>
  <si>
    <t>Капитальный ремонт и ремонт автомобильных дорог общего пользования местного значения</t>
  </si>
  <si>
    <t>20100</t>
  </si>
  <si>
    <t>Озеленение</t>
  </si>
  <si>
    <t>23300</t>
  </si>
  <si>
    <t>Организация временной трудовой занятости несовершеннолетних</t>
  </si>
  <si>
    <t xml:space="preserve">Организация отдыха детей в каникулярное время </t>
  </si>
  <si>
    <t>24630</t>
  </si>
  <si>
    <t>20400</t>
  </si>
  <si>
    <t>Ежемесячная выплата компенсационного характера руководителям органов территориального общественного самоуправления</t>
  </si>
  <si>
    <t>20410</t>
  </si>
  <si>
    <t>Прочие мероприятия по поддержке  органов  территориального общественного самоуправления Туапсинского муниципального округа</t>
  </si>
  <si>
    <t>24890</t>
  </si>
  <si>
    <t>Обеспечение социально-значимых объектов охранными системами</t>
  </si>
  <si>
    <t>24230</t>
  </si>
  <si>
    <t>Взносы на капитальный ремонт общего имущества многоквартирного дома</t>
  </si>
  <si>
    <t>Организация обучения муниципальных тьюторов, координаторов, членов предметных комиссий ГИА, ОГЭ, экспертов предметных комиссий</t>
  </si>
  <si>
    <t>Прочее благоустройство территорий Туапсинского муниципального округа</t>
  </si>
  <si>
    <t>Подготовка к защите населения, материальных и культурных ценностей от опасностей, возникающих при ЧС природного и техногенного характера</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</si>
  <si>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</si>
  <si>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</si>
  <si>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</si>
  <si>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</si>
  <si>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</si>
  <si>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</si>
  <si>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r>
      <t xml:space="preserve">Региональный проект </t>
    </r>
    <r>
      <rPr>
        <sz val="12"/>
        <rFont val="Calibri"/>
        <family val="2"/>
        <charset val="204"/>
      </rPr>
      <t>«</t>
    </r>
    <r>
      <rPr>
        <sz val="12"/>
        <rFont val="Times New Roman"/>
        <family val="1"/>
        <charset val="204"/>
      </rPr>
      <t>Все лучшее детям</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</si>
  <si>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</si>
  <si>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</si>
  <si>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2026 год</t>
  </si>
  <si>
    <t>».</t>
  </si>
  <si>
    <t>Реализация мер популяризации среди детей и молодежи научно образовательной и творческой деятельности, выявление талантливой молодежи</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</si>
  <si>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</si>
  <si>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</si>
  <si>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Cстроительство,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</si>
  <si>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Строительство и реконструкция объектов водоотведения сверх сумм со финансирования к инфраструктурным проектам</t>
  </si>
  <si>
    <t>Повышение качества обучения в муниципальных детско-юношеских спортивных школах</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</si>
  <si>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</si>
  <si>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подвоза детей к месту отдыха и обратно, страхование детей во время перевозки</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</si>
  <si>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</si>
  <si>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</si>
  <si>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А1200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</si>
  <si>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</si>
  <si>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А0620</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</si>
  <si>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</si>
  <si>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А1230</t>
  </si>
  <si>
    <t>60390</t>
  </si>
  <si>
    <t>62950</t>
  </si>
  <si>
    <t>Содержание автомобильных дорог муниципального значения и искусственных дорожных сооружений на них, включая проектные работы</t>
  </si>
  <si>
    <t>9Д030</t>
  </si>
  <si>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</si>
  <si>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t>Предоставление субсидий  учреждениям,  деятельность которых приостановлена</t>
  </si>
  <si>
    <t>Финансирование расходных обязательств по укреплению материально-технической базы школьных и детских столовых</t>
  </si>
  <si>
    <r>
      <t xml:space="preserve">Реализация мероприятий муниципальной программы </t>
    </r>
    <r>
      <rPr>
        <sz val="12"/>
        <rFont val="Calibri"/>
        <family val="2"/>
        <charset val="204"/>
      </rPr>
      <t>«</t>
    </r>
    <r>
      <rPr>
        <sz val="12"/>
        <rFont val="Times New Roman"/>
        <family val="1"/>
        <charset val="204"/>
      </rPr>
      <t>Территория комфортного проживания</t>
    </r>
    <r>
      <rPr>
        <sz val="12"/>
        <rFont val="Calibri"/>
        <family val="2"/>
        <charset val="204"/>
      </rPr>
      <t>»</t>
    </r>
  </si>
  <si>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</si>
  <si>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</si>
  <si>
    <r>
      <t xml:space="preserve">Поощрение победителей краевого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</si>
  <si>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Предоставление мер социальной поддержки детям, родители (законные представители) которых участвуют в специальной военной операции, обучающихся в образовательных организациях и (или) являющихся участниками клубных формирований учреждений, подведомственных управлению культуры администрации Туапсинского муниципального округа</t>
  </si>
  <si>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повышение престижа и социального статуса работников отрасли </t>
    </r>
    <r>
      <rPr>
        <sz val="12"/>
        <rFont val="Calibri"/>
        <family val="2"/>
        <charset val="204"/>
      </rPr>
      <t>«</t>
    </r>
    <r>
      <rPr>
        <sz val="12"/>
        <rFont val="Times New Roman"/>
        <family val="1"/>
        <charset val="204"/>
      </rPr>
      <t>Культура</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</si>
  <si>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Семейные ценности и инфраструктура культуры</t>
    </r>
    <r>
      <rPr>
        <sz val="12"/>
        <rFont val="Calibri"/>
        <family val="2"/>
        <charset val="204"/>
      </rPr>
      <t>»</t>
    </r>
  </si>
  <si>
    <t>Укрепление материально-технической базы муниципальных физкультурно-спортивных сооружений</t>
  </si>
  <si>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</si>
  <si>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t>Организация сбора и вывоза бытовых отходов и мусора, уборка территорий</t>
  </si>
  <si>
    <r>
      <t xml:space="preserve">Реализация мероприятий подпрограммы </t>
    </r>
    <r>
      <rPr>
        <sz val="12"/>
        <rFont val="Calibri"/>
        <family val="2"/>
        <charset val="204"/>
      </rPr>
      <t>«</t>
    </r>
    <r>
      <rPr>
        <sz val="12"/>
        <rFont val="Times New Roman"/>
        <family val="1"/>
        <charset val="204"/>
      </rPr>
      <t>Благоустройство территорий</t>
    </r>
    <r>
      <rPr>
        <sz val="12"/>
        <rFont val="Calibri"/>
        <family val="2"/>
        <charset val="204"/>
      </rPr>
      <t>»</t>
    </r>
  </si>
  <si>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</si>
  <si>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Теплоснабжение</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</si>
  <si>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</si>
  <si>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</si>
  <si>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Реализация отдельных мероприятий подпрограммы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</si>
  <si>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</si>
  <si>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</si>
  <si>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r>
      <t xml:space="preserve">Подпрограмма </t>
    </r>
    <r>
      <rPr>
        <sz val="12"/>
        <rFont val="Calibri"/>
        <family val="2"/>
        <charset val="204"/>
      </rPr>
      <t>«</t>
    </r>
    <r>
      <rPr>
        <sz val="12"/>
        <rFont val="Times New Roman"/>
        <family val="1"/>
        <charset val="204"/>
      </rPr>
      <t>Развитие общественного пассажирского транспорта в Туапсинском муниципальном округе</t>
    </r>
    <r>
      <rPr>
        <sz val="12"/>
        <rFont val="Calibri"/>
        <family val="2"/>
        <charset val="204"/>
      </rPr>
      <t>»</t>
    </r>
  </si>
  <si>
    <t>Грантовая поддержка общественных инициатив и мероприятий, направленных на формирование и укрепление гражданского общества</t>
  </si>
  <si>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</si>
  <si>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</si>
  <si>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</si>
  <si>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r>
      <t>Подпрограмма «Профилактика терроризма на территории Туапсинского муниципального округа</t>
    </r>
    <r>
      <rPr>
        <sz val="12"/>
        <rFont val="Calibri"/>
        <family val="2"/>
        <charset val="204"/>
      </rPr>
      <t>»</t>
    </r>
  </si>
  <si>
    <t>Профилактика террористических проявлений на территории Туапсинского муниципального округа</t>
  </si>
  <si>
    <t>Обеспечение лицензированной охраны в муниципальных учреждениях Туапсинского муниципального округа</t>
  </si>
  <si>
    <t>Реализация мероприятий по укреплению межрегиональных и межмуниципальных отношений в области курортного дела и туризма</t>
  </si>
  <si>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</si>
  <si>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</si>
  <si>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Обеспечение безопасных условий и охраны труда муниципальных служащих</t>
  </si>
  <si>
    <t>Д5130</t>
  </si>
  <si>
    <t>А2590</t>
  </si>
  <si>
    <t>Развитие сети учреждений культурно-досугового типа сверх сумм софинансирования</t>
  </si>
  <si>
    <t>Средства резервного фонда администрации Туапсинского муниципального округа сверх сумм софинансирования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</si>
</sst>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s>
  <fonts count="34"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14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2" fillId="20" borderId="2" applyNumberFormat="0" applyAlignment="0" applyProtection="0"/>
    <xf numFmtId="0" fontId="13" fillId="20" borderId="1" applyNumberFormat="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21" borderId="7" applyNumberFormat="0" applyAlignment="0" applyProtection="0"/>
    <xf numFmtId="0" fontId="19" fillId="0" borderId="0" applyNumberFormat="0" applyFill="0" applyBorder="0" applyAlignment="0" applyProtection="0"/>
    <xf numFmtId="0" fontId="20" fillId="22" borderId="0" applyNumberFormat="0" applyBorder="0" applyAlignment="0" applyProtection="0"/>
    <xf numFmtId="0" fontId="21" fillId="3" borderId="0" applyNumberFormat="0" applyBorder="0" applyAlignment="0" applyProtection="0"/>
    <xf numFmtId="0" fontId="22" fillId="0" borderId="0" applyNumberFormat="0" applyFill="0" applyBorder="0" applyAlignment="0" applyProtection="0"/>
    <xf numFmtId="0" fontId="5" fillId="23" borderId="8" applyNumberFormat="0" applyFont="0" applyAlignment="0" applyProtection="0"/>
    <xf numFmtId="0" fontId="23" fillId="0" borderId="9" applyNumberFormat="0" applyFill="0" applyAlignment="0" applyProtection="0"/>
    <xf numFmtId="0" fontId="24" fillId="0" borderId="0" applyNumberFormat="0" applyFill="0" applyBorder="0" applyAlignment="0" applyProtection="0"/>
    <xf numFmtId="43" fontId="26" fillId="0" borderId="0" applyFont="0" applyFill="0" applyBorder="0" applyAlignment="0" applyProtection="0"/>
    <xf numFmtId="0" fontId="25" fillId="4" borderId="0" applyNumberFormat="0" applyBorder="0" applyAlignment="0" applyProtection="0"/>
    <xf numFmtId="0" fontId="27" fillId="0" borderId="0"/>
    <xf numFmtId="0" fontId="28" fillId="0" borderId="0"/>
    <xf numFmtId="9" fontId="26" fillId="0" borderId="0" applyFont="0" applyFill="0" applyBorder="0" applyAlignment="0" applyProtection="0"/>
    <xf numFmtId="0" fontId="28" fillId="0" borderId="0"/>
    <xf numFmtId="164" fontId="5" fillId="0" borderId="0" applyFont="0" applyFill="0" applyBorder="0" applyAlignment="0" applyProtection="0"/>
    <xf numFmtId="43" fontId="5" fillId="0" borderId="0" applyFont="0" applyFill="0" applyBorder="0" applyAlignment="0" applyProtection="0"/>
    <xf numFmtId="0" fontId="4" fillId="0" borderId="0"/>
    <xf numFmtId="9" fontId="5" fillId="0" borderId="0" applyFont="0" applyFill="0" applyBorder="0" applyAlignment="0" applyProtection="0"/>
    <xf numFmtId="0" fontId="4" fillId="0" borderId="0"/>
    <xf numFmtId="43" fontId="5" fillId="0" borderId="0" applyFont="0" applyFill="0" applyBorder="0" applyAlignment="0" applyProtection="0"/>
    <xf numFmtId="0" fontId="4" fillId="0" borderId="0"/>
    <xf numFmtId="9" fontId="5"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4" fontId="5"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72">
    <xf numFmtId="0" fontId="0" fillId="0" borderId="0" xfId="0"/>
    <xf numFmtId="0" fontId="6" fillId="24" borderId="0" xfId="0" applyFont="1" applyFill="1" applyAlignment="1">
      <alignment vertical="top"/>
    </xf>
    <xf numFmtId="4" fontId="6" fillId="24" borderId="0" xfId="0" applyNumberFormat="1" applyFont="1" applyFill="1" applyAlignment="1">
      <alignment vertical="top"/>
    </xf>
    <xf numFmtId="0" fontId="0" fillId="24" borderId="0" xfId="0" applyFill="1" applyAlignment="1">
      <alignment vertical="top"/>
    </xf>
    <xf numFmtId="0" fontId="6" fillId="24" borderId="0" xfId="0" applyFont="1" applyFill="1" applyAlignment="1">
      <alignment horizontal="justify" vertical="top"/>
    </xf>
    <xf numFmtId="0" fontId="7" fillId="24" borderId="0" xfId="0" applyFont="1" applyFill="1" applyBorder="1" applyAlignment="1">
      <alignment horizontal="justify" vertical="top" wrapText="1"/>
    </xf>
    <xf numFmtId="0" fontId="6" fillId="24" borderId="0" xfId="0" applyFont="1" applyFill="1" applyAlignment="1">
      <alignment horizontal="center" vertical="top"/>
    </xf>
    <xf numFmtId="49" fontId="6" fillId="24" borderId="0" xfId="0" applyNumberFormat="1" applyFont="1" applyFill="1" applyAlignment="1">
      <alignment horizontal="center" vertical="top"/>
    </xf>
    <xf numFmtId="165" fontId="29" fillId="24" borderId="0" xfId="0" applyNumberFormat="1" applyFont="1" applyFill="1" applyAlignment="1">
      <alignment horizontal="center" vertical="top"/>
    </xf>
    <xf numFmtId="49" fontId="7" fillId="24" borderId="0" xfId="0" applyNumberFormat="1" applyFont="1" applyFill="1" applyBorder="1" applyAlignment="1">
      <alignment horizontal="center" vertical="top"/>
    </xf>
    <xf numFmtId="0" fontId="7" fillId="24" borderId="0" xfId="0" applyFont="1" applyFill="1" applyBorder="1" applyAlignment="1">
      <alignment horizontal="center" vertical="top"/>
    </xf>
    <xf numFmtId="0" fontId="29" fillId="24" borderId="0" xfId="0" applyFont="1" applyFill="1" applyBorder="1" applyAlignment="1">
      <alignment horizontal="justify" vertical="top" wrapText="1"/>
    </xf>
    <xf numFmtId="49" fontId="29" fillId="24" borderId="0" xfId="0" applyNumberFormat="1" applyFont="1" applyFill="1" applyBorder="1" applyAlignment="1">
      <alignment horizontal="center" vertical="top"/>
    </xf>
    <xf numFmtId="49" fontId="29" fillId="0" borderId="10" xfId="0" applyNumberFormat="1" applyFont="1" applyFill="1" applyBorder="1" applyAlignment="1">
      <alignment horizontal="center" vertical="top"/>
    </xf>
    <xf numFmtId="49" fontId="29" fillId="0" borderId="10" xfId="0" applyNumberFormat="1" applyFont="1" applyFill="1" applyBorder="1" applyAlignment="1">
      <alignment horizontal="center" vertical="top" wrapText="1"/>
    </xf>
    <xf numFmtId="166" fontId="29" fillId="0" borderId="10" xfId="0" applyNumberFormat="1" applyFont="1" applyFill="1" applyBorder="1" applyAlignment="1">
      <alignment horizontal="center" vertical="top"/>
    </xf>
    <xf numFmtId="0" fontId="29" fillId="0" borderId="10" xfId="0" applyFont="1" applyFill="1" applyBorder="1" applyAlignment="1">
      <alignment horizontal="center" vertical="top" wrapText="1"/>
    </xf>
    <xf numFmtId="166" fontId="6" fillId="24" borderId="0" xfId="0" applyNumberFormat="1" applyFont="1" applyFill="1" applyAlignment="1">
      <alignment vertical="top"/>
    </xf>
    <xf numFmtId="49" fontId="30" fillId="0" borderId="10" xfId="0" applyNumberFormat="1" applyFont="1" applyFill="1" applyBorder="1" applyAlignment="1">
      <alignment horizontal="center" vertical="top"/>
    </xf>
    <xf numFmtId="0" fontId="8" fillId="0" borderId="0" xfId="0" applyFont="1" applyFill="1" applyBorder="1" applyAlignment="1" applyProtection="1">
      <alignment horizontal="justify" vertical="top" wrapText="1"/>
      <protection locked="0"/>
    </xf>
    <xf numFmtId="49" fontId="8" fillId="0" borderId="0" xfId="0" applyNumberFormat="1" applyFont="1" applyFill="1" applyBorder="1" applyAlignment="1" applyProtection="1">
      <alignment horizontal="center" vertical="top" wrapText="1"/>
      <protection locked="0"/>
    </xf>
    <xf numFmtId="0" fontId="8" fillId="0" borderId="0" xfId="0" applyFont="1" applyFill="1" applyBorder="1" applyAlignment="1" applyProtection="1">
      <alignment horizontal="center" vertical="top" wrapText="1"/>
      <protection locked="0"/>
    </xf>
    <xf numFmtId="165" fontId="7" fillId="0" borderId="0" xfId="0" applyNumberFormat="1" applyFont="1" applyFill="1" applyAlignment="1">
      <alignment horizontal="center"/>
    </xf>
    <xf numFmtId="49" fontId="29" fillId="0" borderId="10" xfId="0" applyNumberFormat="1" applyFont="1" applyFill="1" applyBorder="1" applyAlignment="1" applyProtection="1">
      <alignment horizontal="center" vertical="top" wrapText="1"/>
      <protection locked="0"/>
    </xf>
    <xf numFmtId="1" fontId="29" fillId="0" borderId="10" xfId="0" applyNumberFormat="1" applyFont="1" applyFill="1" applyBorder="1" applyAlignment="1" applyProtection="1">
      <alignment horizontal="center" vertical="top" wrapText="1"/>
      <protection locked="0"/>
    </xf>
    <xf numFmtId="0" fontId="29" fillId="0" borderId="10" xfId="0" applyFont="1" applyFill="1" applyBorder="1" applyAlignment="1">
      <alignment horizontal="center" vertical="top"/>
    </xf>
    <xf numFmtId="168" fontId="29" fillId="0" borderId="10" xfId="0" applyNumberFormat="1" applyFont="1" applyFill="1" applyBorder="1" applyAlignment="1">
      <alignment horizontal="center" vertical="top"/>
    </xf>
    <xf numFmtId="0" fontId="29" fillId="0" borderId="10" xfId="0" applyFont="1" applyFill="1" applyBorder="1" applyAlignment="1" applyProtection="1">
      <alignment horizontal="left" vertical="top" wrapText="1"/>
      <protection locked="0"/>
    </xf>
    <xf numFmtId="49" fontId="30" fillId="0" borderId="10" xfId="0" applyNumberFormat="1" applyFont="1" applyFill="1" applyBorder="1" applyAlignment="1">
      <alignment horizontal="left" vertical="top" wrapText="1"/>
    </xf>
    <xf numFmtId="0" fontId="29" fillId="0" borderId="10" xfId="0" applyFont="1" applyFill="1" applyBorder="1" applyAlignment="1">
      <alignment horizontal="left" vertical="top" wrapText="1"/>
    </xf>
    <xf numFmtId="49" fontId="29" fillId="0" borderId="10" xfId="43" applyNumberFormat="1" applyFont="1" applyFill="1" applyBorder="1" applyAlignment="1" applyProtection="1">
      <alignment horizontal="left" vertical="top" wrapText="1"/>
      <protection hidden="1"/>
    </xf>
    <xf numFmtId="49" fontId="29" fillId="0" borderId="10" xfId="0" applyNumberFormat="1" applyFont="1" applyFill="1" applyBorder="1" applyAlignment="1">
      <alignment horizontal="left" vertical="top" wrapText="1"/>
    </xf>
    <xf numFmtId="11" fontId="29" fillId="0" borderId="10" xfId="0" applyNumberFormat="1" applyFont="1" applyFill="1" applyBorder="1" applyAlignment="1">
      <alignment horizontal="left" vertical="top" wrapText="1"/>
    </xf>
    <xf numFmtId="2" fontId="29" fillId="0" borderId="10" xfId="43" applyNumberFormat="1" applyFont="1" applyFill="1" applyBorder="1" applyAlignment="1" applyProtection="1">
      <alignment horizontal="left" vertical="top" wrapText="1"/>
      <protection hidden="1"/>
    </xf>
    <xf numFmtId="0" fontId="30" fillId="0" borderId="10" xfId="0" applyFont="1" applyFill="1" applyBorder="1" applyAlignment="1">
      <alignment horizontal="left" vertical="top" wrapText="1"/>
    </xf>
    <xf numFmtId="2" fontId="30" fillId="0" borderId="10" xfId="0" applyNumberFormat="1" applyFont="1" applyFill="1" applyBorder="1" applyAlignment="1">
      <alignment horizontal="left" vertical="top" wrapText="1"/>
    </xf>
    <xf numFmtId="49" fontId="29" fillId="0" borderId="10" xfId="43" applyNumberFormat="1" applyFont="1" applyFill="1" applyBorder="1" applyAlignment="1">
      <alignment horizontal="left" vertical="top" wrapText="1"/>
    </xf>
    <xf numFmtId="2" fontId="29" fillId="0" borderId="10" xfId="0" applyNumberFormat="1" applyFont="1" applyFill="1" applyBorder="1" applyAlignment="1">
      <alignment horizontal="left" vertical="top" wrapText="1"/>
    </xf>
    <xf numFmtId="12" fontId="30" fillId="0" borderId="10" xfId="0" applyNumberFormat="1" applyFont="1" applyFill="1" applyBorder="1" applyAlignment="1">
      <alignment horizontal="left" vertical="top" wrapText="1"/>
    </xf>
    <xf numFmtId="167" fontId="29" fillId="0" borderId="10" xfId="43" applyNumberFormat="1" applyFont="1" applyFill="1" applyBorder="1" applyAlignment="1">
      <alignment horizontal="left" vertical="top" wrapText="1"/>
    </xf>
    <xf numFmtId="0" fontId="29" fillId="0" borderId="10" xfId="0" applyNumberFormat="1" applyFont="1" applyFill="1" applyBorder="1" applyAlignment="1">
      <alignment horizontal="left" vertical="top" wrapText="1"/>
    </xf>
    <xf numFmtId="0" fontId="30" fillId="0" borderId="10" xfId="0" applyFont="1" applyFill="1" applyBorder="1" applyAlignment="1">
      <alignment horizontal="left" wrapText="1"/>
    </xf>
    <xf numFmtId="11" fontId="30" fillId="0" borderId="10" xfId="0" applyNumberFormat="1" applyFont="1" applyFill="1" applyBorder="1" applyAlignment="1">
      <alignment horizontal="left" vertical="top" wrapText="1"/>
    </xf>
    <xf numFmtId="11" fontId="29"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justify" vertical="top" wrapText="1"/>
    </xf>
    <xf numFmtId="0" fontId="29" fillId="24" borderId="10" xfId="0" applyFont="1" applyFill="1" applyBorder="1" applyAlignment="1">
      <alignment horizontal="justify" vertical="top" wrapText="1"/>
    </xf>
    <xf numFmtId="49" fontId="29" fillId="24" borderId="10" xfId="0" applyNumberFormat="1" applyFont="1" applyFill="1" applyBorder="1" applyAlignment="1">
      <alignment horizontal="center" vertical="top"/>
    </xf>
    <xf numFmtId="4" fontId="6" fillId="24" borderId="0" xfId="0" applyNumberFormat="1" applyFont="1" applyFill="1" applyAlignment="1">
      <alignment horizontal="center" vertical="top"/>
    </xf>
    <xf numFmtId="166" fontId="6" fillId="24" borderId="0" xfId="0" applyNumberFormat="1" applyFont="1" applyFill="1" applyAlignment="1">
      <alignment horizontal="center" vertical="top"/>
    </xf>
    <xf numFmtId="166" fontId="7" fillId="24" borderId="0" xfId="47" applyNumberFormat="1" applyFont="1" applyFill="1" applyBorder="1" applyAlignment="1">
      <alignment horizontal="right" vertical="top" wrapText="1"/>
    </xf>
    <xf numFmtId="165" fontId="7" fillId="24" borderId="0" xfId="0" applyNumberFormat="1" applyFont="1" applyFill="1" applyBorder="1" applyAlignment="1">
      <alignment horizontal="right"/>
    </xf>
    <xf numFmtId="0" fontId="29" fillId="25" borderId="10" xfId="0" applyFont="1" applyFill="1" applyBorder="1" applyAlignment="1">
      <alignment horizontal="left" vertical="top" wrapText="1"/>
    </xf>
    <xf numFmtId="49" fontId="29" fillId="25" borderId="10" xfId="43" applyNumberFormat="1" applyFont="1" applyFill="1" applyBorder="1" applyAlignment="1" applyProtection="1">
      <alignment horizontal="left" vertical="top" wrapText="1"/>
      <protection hidden="1"/>
    </xf>
    <xf numFmtId="49" fontId="30" fillId="25" borderId="10" xfId="0" applyNumberFormat="1" applyFont="1" applyFill="1" applyBorder="1" applyAlignment="1">
      <alignment horizontal="left" vertical="top" wrapText="1"/>
    </xf>
    <xf numFmtId="49" fontId="29" fillId="25" borderId="10" xfId="0" applyNumberFormat="1" applyFont="1" applyFill="1" applyBorder="1" applyAlignment="1">
      <alignment horizontal="left" vertical="top" wrapText="1"/>
    </xf>
    <xf numFmtId="0" fontId="29" fillId="25" borderId="10" xfId="0" applyFont="1" applyFill="1" applyBorder="1" applyAlignment="1">
      <alignment horizontal="justify" vertical="top" wrapText="1"/>
    </xf>
    <xf numFmtId="49" fontId="29" fillId="25" borderId="10" xfId="0" applyNumberFormat="1" applyFont="1" applyFill="1" applyBorder="1" applyAlignment="1">
      <alignment horizontal="center" vertical="top"/>
    </xf>
    <xf numFmtId="11" fontId="29" fillId="25" borderId="10" xfId="0" applyNumberFormat="1" applyFont="1" applyFill="1" applyBorder="1" applyAlignment="1">
      <alignment horizontal="left" vertical="top" wrapText="1"/>
    </xf>
    <xf numFmtId="0" fontId="29" fillId="0" borderId="10" xfId="0" applyFont="1" applyFill="1" applyBorder="1" applyAlignment="1" applyProtection="1">
      <alignment horizontal="center" vertical="top" wrapText="1"/>
      <protection locked="0"/>
    </xf>
    <xf numFmtId="4" fontId="32" fillId="24" borderId="0" xfId="0" applyNumberFormat="1" applyFont="1" applyFill="1" applyAlignment="1">
      <alignment vertical="top"/>
    </xf>
    <xf numFmtId="166" fontId="29" fillId="24" borderId="10" xfId="0" applyNumberFormat="1" applyFont="1" applyFill="1" applyBorder="1" applyAlignment="1">
      <alignment horizontal="center" vertical="top"/>
    </xf>
    <xf numFmtId="165" fontId="7" fillId="24" borderId="0" xfId="0" applyNumberFormat="1" applyFont="1" applyFill="1" applyAlignment="1">
      <alignment horizontal="center"/>
    </xf>
    <xf numFmtId="1" fontId="29" fillId="24" borderId="10" xfId="0" applyNumberFormat="1" applyFont="1" applyFill="1" applyBorder="1" applyAlignment="1" applyProtection="1">
      <alignment horizontal="center" vertical="top" wrapText="1"/>
      <protection locked="0"/>
    </xf>
    <xf numFmtId="168" fontId="29" fillId="24" borderId="10" xfId="0" applyNumberFormat="1" applyFont="1" applyFill="1" applyBorder="1" applyAlignment="1">
      <alignment horizontal="center" vertical="top"/>
    </xf>
    <xf numFmtId="0" fontId="8" fillId="24" borderId="0" xfId="0" applyFont="1" applyFill="1" applyBorder="1" applyAlignment="1" applyProtection="1">
      <alignment horizontal="justify" vertical="top" wrapText="1"/>
      <protection locked="0"/>
    </xf>
    <xf numFmtId="49" fontId="8" fillId="24" borderId="0" xfId="0" applyNumberFormat="1" applyFont="1" applyFill="1" applyBorder="1" applyAlignment="1" applyProtection="1">
      <alignment horizontal="center" vertical="top" wrapText="1"/>
      <protection locked="0"/>
    </xf>
    <xf numFmtId="0" fontId="8" fillId="24" borderId="0" xfId="0" applyFont="1" applyFill="1" applyBorder="1" applyAlignment="1" applyProtection="1">
      <alignment horizontal="center" vertical="top" wrapText="1"/>
      <protection locked="0"/>
    </xf>
    <xf numFmtId="49" fontId="29" fillId="24" borderId="10" xfId="0" applyNumberFormat="1" applyFont="1" applyFill="1" applyBorder="1" applyAlignment="1" applyProtection="1">
      <alignment horizontal="center" vertical="top" wrapText="1"/>
      <protection locked="0"/>
    </xf>
    <xf numFmtId="0" fontId="29" fillId="24" borderId="10" xfId="0" applyFont="1" applyFill="1" applyBorder="1" applyAlignment="1" applyProtection="1">
      <alignment horizontal="center" vertical="top" wrapText="1"/>
      <protection locked="0"/>
    </xf>
    <xf numFmtId="0" fontId="29" fillId="24" borderId="10" xfId="0" applyFont="1" applyFill="1" applyBorder="1" applyAlignment="1" applyProtection="1">
      <alignment horizontal="left" vertical="top" wrapText="1"/>
      <protection locked="0"/>
    </xf>
    <xf numFmtId="49" fontId="30" fillId="24" borderId="10" xfId="0" applyNumberFormat="1" applyFont="1" applyFill="1" applyBorder="1" applyAlignment="1">
      <alignment horizontal="left" vertical="top" wrapText="1"/>
    </xf>
    <xf numFmtId="49" fontId="30" fillId="24" borderId="10" xfId="0" applyNumberFormat="1" applyFont="1" applyFill="1" applyBorder="1" applyAlignment="1">
      <alignment horizontal="center" vertical="top"/>
    </xf>
    <xf numFmtId="49" fontId="29" fillId="24" borderId="10" xfId="0" applyNumberFormat="1" applyFont="1" applyFill="1" applyBorder="1" applyAlignment="1">
      <alignment horizontal="center" vertical="top" wrapText="1"/>
    </xf>
    <xf numFmtId="0" fontId="29" fillId="24" borderId="10" xfId="0" applyFont="1" applyFill="1" applyBorder="1" applyAlignment="1">
      <alignment horizontal="left" vertical="top" wrapText="1"/>
    </xf>
    <xf numFmtId="0" fontId="29" fillId="24" borderId="10" xfId="0" applyFont="1" applyFill="1" applyBorder="1" applyAlignment="1">
      <alignment horizontal="center" vertical="top" wrapText="1"/>
    </xf>
    <xf numFmtId="49" fontId="29" fillId="24" borderId="10" xfId="43" applyNumberFormat="1" applyFont="1" applyFill="1" applyBorder="1" applyAlignment="1" applyProtection="1">
      <alignment horizontal="left" vertical="top" wrapText="1"/>
      <protection hidden="1"/>
    </xf>
    <xf numFmtId="49" fontId="29" fillId="24" borderId="10" xfId="0" applyNumberFormat="1" applyFont="1" applyFill="1" applyBorder="1" applyAlignment="1">
      <alignment horizontal="left" vertical="top" wrapText="1"/>
    </xf>
    <xf numFmtId="11" fontId="29" fillId="24" borderId="10" xfId="0" applyNumberFormat="1" applyFont="1" applyFill="1" applyBorder="1" applyAlignment="1">
      <alignment horizontal="left" vertical="top" wrapText="1"/>
    </xf>
    <xf numFmtId="2" fontId="29" fillId="24" borderId="10" xfId="43" applyNumberFormat="1" applyFont="1" applyFill="1" applyBorder="1" applyAlignment="1" applyProtection="1">
      <alignment horizontal="left" vertical="top" wrapText="1"/>
      <protection hidden="1"/>
    </xf>
    <xf numFmtId="0" fontId="29" fillId="24" borderId="10" xfId="0" applyFont="1" applyFill="1" applyBorder="1" applyAlignment="1">
      <alignment horizontal="center" vertical="top"/>
    </xf>
    <xf numFmtId="0" fontId="30" fillId="24" borderId="10" xfId="0" applyFont="1" applyFill="1" applyBorder="1" applyAlignment="1">
      <alignment horizontal="left" vertical="top" wrapText="1"/>
    </xf>
    <xf numFmtId="2" fontId="30" fillId="24" borderId="10" xfId="0" applyNumberFormat="1" applyFont="1" applyFill="1" applyBorder="1" applyAlignment="1">
      <alignment horizontal="left" vertical="top" wrapText="1"/>
    </xf>
    <xf numFmtId="49" fontId="29" fillId="24" borderId="10" xfId="43" applyNumberFormat="1" applyFont="1" applyFill="1" applyBorder="1" applyAlignment="1">
      <alignment horizontal="left" vertical="top" wrapText="1"/>
    </xf>
    <xf numFmtId="2" fontId="29" fillId="24" borderId="10" xfId="0" applyNumberFormat="1" applyFont="1" applyFill="1" applyBorder="1" applyAlignment="1">
      <alignment horizontal="left" vertical="top" wrapText="1"/>
    </xf>
    <xf numFmtId="0" fontId="29" fillId="24" borderId="11" xfId="0" applyFont="1" applyFill="1" applyBorder="1" applyAlignment="1">
      <alignment horizontal="left" vertical="top" wrapText="1"/>
    </xf>
    <xf numFmtId="49" fontId="29" fillId="24" borderId="11" xfId="43" applyNumberFormat="1" applyFont="1" applyFill="1" applyBorder="1" applyAlignment="1" applyProtection="1">
      <alignment horizontal="left" vertical="top" wrapText="1"/>
      <protection hidden="1"/>
    </xf>
    <xf numFmtId="12" fontId="30" fillId="24" borderId="10" xfId="0" applyNumberFormat="1" applyFont="1" applyFill="1" applyBorder="1" applyAlignment="1">
      <alignment horizontal="left" vertical="top" wrapText="1"/>
    </xf>
    <xf numFmtId="167" fontId="29" fillId="24" borderId="10" xfId="43" applyNumberFormat="1" applyFont="1" applyFill="1" applyBorder="1" applyAlignment="1">
      <alignment horizontal="left" vertical="top" wrapText="1"/>
    </xf>
    <xf numFmtId="0" fontId="29" fillId="24" borderId="10" xfId="0" applyNumberFormat="1" applyFont="1" applyFill="1" applyBorder="1" applyAlignment="1">
      <alignment horizontal="left" vertical="top" wrapText="1"/>
    </xf>
    <xf numFmtId="0" fontId="30" fillId="24" borderId="10" xfId="0" applyFont="1" applyFill="1" applyBorder="1" applyAlignment="1">
      <alignment horizontal="left" wrapText="1"/>
    </xf>
    <xf numFmtId="11" fontId="30" fillId="24" borderId="10" xfId="0" applyNumberFormat="1" applyFont="1" applyFill="1" applyBorder="1" applyAlignment="1">
      <alignment horizontal="left" vertical="top" wrapText="1"/>
    </xf>
    <xf numFmtId="11" fontId="29" fillId="24" borderId="10" xfId="43" applyNumberFormat="1" applyFont="1" applyFill="1" applyBorder="1" applyAlignment="1" applyProtection="1">
      <alignment horizontal="left" vertical="top" wrapText="1"/>
      <protection hidden="1"/>
    </xf>
    <xf numFmtId="49" fontId="6" fillId="0" borderId="0" xfId="0" applyNumberFormat="1" applyFont="1" applyFill="1" applyAlignment="1">
      <alignment horizontal="center" vertical="top"/>
    </xf>
    <xf numFmtId="0" fontId="6" fillId="0" borderId="0" xfId="0" applyFont="1" applyFill="1" applyAlignment="1">
      <alignment horizontal="center" vertical="top"/>
    </xf>
    <xf numFmtId="0" fontId="6" fillId="0" borderId="0" xfId="0" applyFont="1" applyFill="1" applyAlignment="1">
      <alignment vertical="top"/>
    </xf>
    <xf numFmtId="4" fontId="6" fillId="0" borderId="0" xfId="0" applyNumberFormat="1" applyFont="1" applyFill="1" applyAlignment="1">
      <alignment vertical="top"/>
    </xf>
    <xf numFmtId="166" fontId="6" fillId="0" borderId="0" xfId="0" applyNumberFormat="1" applyFont="1" applyFill="1" applyAlignment="1">
      <alignment vertical="top"/>
    </xf>
    <xf numFmtId="4" fontId="6" fillId="0" borderId="0" xfId="0" applyNumberFormat="1" applyFont="1" applyFill="1" applyAlignment="1">
      <alignment horizontal="center" vertical="top"/>
    </xf>
    <xf numFmtId="166" fontId="6" fillId="0" borderId="0" xfId="0" applyNumberFormat="1" applyFont="1" applyFill="1" applyAlignment="1">
      <alignment horizontal="center" vertical="top"/>
    </xf>
    <xf numFmtId="4" fontId="32" fillId="0" borderId="0" xfId="0" applyNumberFormat="1" applyFont="1" applyFill="1" applyAlignment="1">
      <alignment vertical="top"/>
    </xf>
    <xf numFmtId="49" fontId="29" fillId="0" borderId="0" xfId="0" applyNumberFormat="1" applyFont="1" applyFill="1" applyBorder="1" applyAlignment="1">
      <alignment horizontal="center" vertical="top"/>
    </xf>
    <xf numFmtId="165" fontId="7" fillId="0" borderId="0" xfId="0" applyNumberFormat="1" applyFont="1" applyFill="1" applyBorder="1" applyAlignment="1">
      <alignment horizontal="right"/>
    </xf>
    <xf numFmtId="0" fontId="0" fillId="0" borderId="0" xfId="0" applyFill="1" applyAlignment="1">
      <alignment vertical="top"/>
    </xf>
    <xf numFmtId="0" fontId="6" fillId="0" borderId="0" xfId="0" applyFont="1" applyFill="1" applyAlignment="1">
      <alignment horizontal="left" vertical="top"/>
    </xf>
    <xf numFmtId="0" fontId="8" fillId="0" borderId="0" xfId="0" applyFont="1" applyFill="1" applyBorder="1" applyAlignment="1" applyProtection="1">
      <alignment horizontal="left" vertical="top" wrapText="1"/>
      <protection locked="0"/>
    </xf>
    <xf numFmtId="0" fontId="29" fillId="0" borderId="0" xfId="0" applyFont="1" applyFill="1" applyBorder="1" applyAlignment="1">
      <alignment horizontal="left" vertical="top" wrapText="1"/>
    </xf>
    <xf numFmtId="12" fontId="29" fillId="0" borderId="10" xfId="0" applyNumberFormat="1" applyFont="1" applyFill="1" applyBorder="1" applyAlignment="1">
      <alignment horizontal="left" vertical="top" wrapText="1"/>
    </xf>
    <xf numFmtId="0" fontId="29" fillId="0" borderId="10" xfId="0" applyFont="1" applyFill="1" applyBorder="1" applyAlignment="1" applyProtection="1">
      <alignment horizontal="center" vertical="top" wrapText="1"/>
      <protection locked="0"/>
    </xf>
    <xf numFmtId="49" fontId="29" fillId="0" borderId="11" xfId="43" applyNumberFormat="1" applyFont="1" applyFill="1" applyBorder="1" applyAlignment="1" applyProtection="1">
      <alignment horizontal="left" vertical="top" wrapText="1"/>
      <protection hidden="1"/>
    </xf>
    <xf numFmtId="166" fontId="29" fillId="24" borderId="0" xfId="52" applyNumberFormat="1" applyFont="1" applyFill="1" applyBorder="1" applyAlignment="1">
      <alignment horizontal="center" wrapText="1"/>
    </xf>
    <xf numFmtId="49" fontId="7" fillId="0" borderId="0" xfId="0" applyNumberFormat="1" applyFont="1" applyFill="1" applyBorder="1" applyAlignment="1">
      <alignment horizontal="center"/>
    </xf>
    <xf numFmtId="166" fontId="7" fillId="24" borderId="0" xfId="52" applyNumberFormat="1" applyFont="1" applyFill="1" applyBorder="1" applyAlignment="1">
      <alignment horizontal="center" wrapText="1"/>
    </xf>
    <xf numFmtId="4" fontId="6" fillId="0" borderId="0" xfId="0" applyNumberFormat="1" applyFont="1" applyFill="1" applyAlignment="1"/>
    <xf numFmtId="169" fontId="7" fillId="24" borderId="0" xfId="0" applyNumberFormat="1" applyFont="1" applyFill="1" applyAlignment="1">
      <alignment horizontal="right"/>
    </xf>
    <xf numFmtId="0" fontId="7" fillId="0" borderId="0" xfId="0" applyFont="1" applyFill="1" applyBorder="1" applyAlignment="1">
      <alignment horizontal="left" wrapText="1"/>
    </xf>
    <xf numFmtId="49" fontId="6" fillId="0" borderId="0" xfId="0" applyNumberFormat="1" applyFont="1" applyFill="1" applyAlignment="1">
      <alignment horizontal="center"/>
    </xf>
    <xf numFmtId="0" fontId="6" fillId="0" borderId="0" xfId="0" applyFont="1" applyFill="1" applyAlignment="1">
      <alignment horizontal="center"/>
    </xf>
    <xf numFmtId="4" fontId="29" fillId="0" borderId="10" xfId="0" applyNumberFormat="1" applyFont="1" applyFill="1" applyBorder="1" applyAlignment="1">
      <alignment horizontal="left" vertical="top" wrapText="1"/>
    </xf>
    <xf numFmtId="0" fontId="29" fillId="0" borderId="10" xfId="0" applyFont="1" applyFill="1" applyBorder="1" applyAlignment="1">
      <alignment horizontal="left" vertical="top" wrapText="1"/>
    </xf>
    <xf numFmtId="49" fontId="29" fillId="0" borderId="10" xfId="43" applyNumberFormat="1" applyFont="1" applyFill="1" applyBorder="1" applyAlignment="1" applyProtection="1">
      <alignment horizontal="left" vertical="top" wrapText="1"/>
      <protection hidden="1"/>
    </xf>
    <xf numFmtId="49" fontId="29" fillId="0" borderId="10" xfId="0" applyNumberFormat="1" applyFont="1" applyFill="1" applyBorder="1" applyAlignment="1">
      <alignment horizontal="left" vertical="top" wrapText="1"/>
    </xf>
    <xf numFmtId="11" fontId="29" fillId="0" borderId="10" xfId="0" applyNumberFormat="1" applyFont="1" applyFill="1" applyBorder="1" applyAlignment="1">
      <alignment horizontal="left" vertical="top" wrapText="1"/>
    </xf>
    <xf numFmtId="2" fontId="29" fillId="0" borderId="10" xfId="43" applyNumberFormat="1" applyFont="1" applyFill="1" applyBorder="1" applyAlignment="1" applyProtection="1">
      <alignment horizontal="left" vertical="top" wrapText="1"/>
      <protection hidden="1"/>
    </xf>
    <xf numFmtId="2" fontId="29" fillId="0" borderId="10" xfId="0" applyNumberFormat="1" applyFont="1" applyFill="1" applyBorder="1" applyAlignment="1">
      <alignment horizontal="left" vertical="top" wrapText="1"/>
    </xf>
    <xf numFmtId="167" fontId="29" fillId="0" borderId="10" xfId="43" applyNumberFormat="1" applyFont="1" applyFill="1" applyBorder="1" applyAlignment="1">
      <alignment horizontal="left" vertical="top" wrapText="1"/>
    </xf>
    <xf numFmtId="0" fontId="29" fillId="24" borderId="10" xfId="0" applyFont="1" applyFill="1" applyBorder="1" applyAlignment="1">
      <alignment horizontal="left" vertical="top" wrapText="1"/>
    </xf>
    <xf numFmtId="49" fontId="29" fillId="24" borderId="11" xfId="43" applyNumberFormat="1" applyFont="1" applyFill="1" applyBorder="1" applyAlignment="1" applyProtection="1">
      <alignment horizontal="left" vertical="top" wrapText="1"/>
      <protection hidden="1"/>
    </xf>
    <xf numFmtId="11" fontId="29" fillId="24" borderId="10" xfId="43" applyNumberFormat="1" applyFont="1" applyFill="1" applyBorder="1" applyAlignment="1" applyProtection="1">
      <alignment horizontal="left" vertical="top" wrapText="1"/>
      <protection hidden="1"/>
    </xf>
    <xf numFmtId="4" fontId="29" fillId="24" borderId="14" xfId="0" applyNumberFormat="1" applyFont="1" applyFill="1" applyBorder="1" applyAlignment="1">
      <alignment horizontal="center" vertical="top"/>
    </xf>
    <xf numFmtId="0" fontId="29" fillId="0" borderId="10" xfId="0" applyFont="1" applyFill="1" applyBorder="1" applyAlignment="1">
      <alignment horizontal="left" vertical="top" wrapText="1"/>
    </xf>
    <xf numFmtId="49" fontId="29" fillId="0" borderId="10" xfId="0" applyNumberFormat="1" applyFont="1" applyFill="1" applyBorder="1" applyAlignment="1">
      <alignment horizontal="left" vertical="top" wrapText="1"/>
    </xf>
    <xf numFmtId="166" fontId="29" fillId="24" borderId="10" xfId="0" applyNumberFormat="1" applyFont="1" applyFill="1" applyBorder="1" applyAlignment="1">
      <alignment horizontal="center" vertical="top" wrapText="1"/>
    </xf>
    <xf numFmtId="166" fontId="30" fillId="24" borderId="10" xfId="0" applyNumberFormat="1" applyFont="1" applyFill="1" applyBorder="1" applyAlignment="1">
      <alignment horizontal="center" vertical="top"/>
    </xf>
    <xf numFmtId="0" fontId="7" fillId="24" borderId="0" xfId="0" applyFont="1" applyFill="1" applyAlignment="1">
      <alignment horizontal="right" vertical="top"/>
    </xf>
    <xf numFmtId="49" fontId="29" fillId="0" borderId="10" xfId="0" applyNumberFormat="1" applyFont="1" applyFill="1" applyBorder="1" applyAlignment="1">
      <alignment horizontal="center" vertical="top"/>
    </xf>
    <xf numFmtId="49" fontId="29" fillId="0" borderId="10" xfId="0" applyNumberFormat="1" applyFont="1" applyFill="1" applyBorder="1" applyAlignment="1">
      <alignment horizontal="center" vertical="top" wrapText="1"/>
    </xf>
    <xf numFmtId="49" fontId="29"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left" vertical="top" wrapText="1"/>
    </xf>
    <xf numFmtId="0" fontId="29" fillId="0" borderId="10" xfId="0" applyFont="1" applyFill="1" applyBorder="1" applyAlignment="1">
      <alignment horizontal="center" vertical="top"/>
    </xf>
    <xf numFmtId="0" fontId="29" fillId="0" borderId="11" xfId="0" applyFont="1" applyFill="1" applyBorder="1" applyAlignment="1">
      <alignment horizontal="left" vertical="top" wrapText="1"/>
    </xf>
    <xf numFmtId="0" fontId="29" fillId="0" borderId="10" xfId="0" applyFont="1" applyFill="1" applyBorder="1" applyAlignment="1">
      <alignment horizontal="left" vertical="top" wrapText="1"/>
    </xf>
    <xf numFmtId="49" fontId="29" fillId="0" borderId="10" xfId="0" applyNumberFormat="1" applyFont="1" applyFill="1" applyBorder="1" applyAlignment="1">
      <alignment horizontal="center" vertical="top"/>
    </xf>
    <xf numFmtId="0" fontId="29" fillId="0" borderId="10" xfId="0" applyFont="1" applyFill="1" applyBorder="1" applyAlignment="1">
      <alignment horizontal="center" vertical="top"/>
    </xf>
    <xf numFmtId="49" fontId="29" fillId="0" borderId="10" xfId="0" applyNumberFormat="1" applyFont="1" applyFill="1" applyBorder="1" applyAlignment="1">
      <alignment horizontal="center" vertical="top"/>
    </xf>
    <xf numFmtId="0" fontId="29" fillId="0" borderId="10" xfId="0" applyFont="1" applyFill="1" applyBorder="1" applyAlignment="1">
      <alignment horizontal="center" vertical="top"/>
    </xf>
    <xf numFmtId="0" fontId="6" fillId="24" borderId="0" xfId="0" applyFont="1" applyFill="1" applyAlignment="1">
      <alignment vertical="top"/>
    </xf>
    <xf numFmtId="4" fontId="6" fillId="24" borderId="0" xfId="0" applyNumberFormat="1" applyFont="1" applyFill="1" applyAlignment="1">
      <alignment vertical="top"/>
    </xf>
    <xf numFmtId="0" fontId="29" fillId="24" borderId="10" xfId="0" applyFont="1" applyFill="1" applyBorder="1" applyAlignment="1">
      <alignment horizontal="center" vertical="top"/>
    </xf>
    <xf numFmtId="0" fontId="29" fillId="0" borderId="10" xfId="0" applyFont="1" applyFill="1" applyBorder="1" applyAlignment="1">
      <alignment horizontal="left" vertical="top" wrapText="1"/>
    </xf>
    <xf numFmtId="166" fontId="29" fillId="24" borderId="10" xfId="0" applyNumberFormat="1" applyFont="1" applyFill="1" applyBorder="1" applyAlignment="1">
      <alignment horizontal="center" vertical="top"/>
    </xf>
    <xf numFmtId="166" fontId="29" fillId="24" borderId="14" xfId="0" applyNumberFormat="1" applyFont="1" applyFill="1" applyBorder="1" applyAlignment="1">
      <alignment horizontal="center" vertical="top"/>
    </xf>
    <xf numFmtId="4" fontId="29" fillId="24" borderId="14" xfId="0" applyNumberFormat="1" applyFont="1" applyFill="1" applyBorder="1" applyAlignment="1">
      <alignment horizontal="center" vertical="top" wrapText="1"/>
    </xf>
    <xf numFmtId="4" fontId="6" fillId="0" borderId="0" xfId="0" applyNumberFormat="1" applyFont="1" applyFill="1" applyBorder="1" applyAlignment="1">
      <alignment vertical="top"/>
    </xf>
    <xf numFmtId="166" fontId="29" fillId="26" borderId="0" xfId="0" applyNumberFormat="1" applyFont="1" applyFill="1" applyBorder="1" applyAlignment="1">
      <alignment horizontal="center" vertical="top"/>
    </xf>
    <xf numFmtId="49" fontId="7" fillId="24" borderId="0" xfId="0" applyNumberFormat="1" applyFont="1" applyFill="1" applyBorder="1" applyAlignment="1">
      <alignment horizontal="right" vertical="top"/>
    </xf>
    <xf numFmtId="0" fontId="31" fillId="24" borderId="0" xfId="0" applyFont="1" applyFill="1" applyAlignment="1">
      <alignment horizontal="center" wrapText="1"/>
    </xf>
    <xf numFmtId="0" fontId="0" fillId="24" borderId="0" xfId="0" applyFill="1" applyAlignment="1">
      <alignment horizontal="center" wrapText="1"/>
    </xf>
    <xf numFmtId="0" fontId="29" fillId="24" borderId="10" xfId="0" applyFont="1" applyFill="1" applyBorder="1" applyAlignment="1" applyProtection="1">
      <alignment horizontal="center" vertical="top" wrapText="1"/>
      <protection locked="0"/>
    </xf>
    <xf numFmtId="165" fontId="29" fillId="24" borderId="10" xfId="0" applyNumberFormat="1" applyFont="1" applyFill="1" applyBorder="1" applyAlignment="1">
      <alignment horizontal="center" vertical="top" wrapText="1"/>
    </xf>
    <xf numFmtId="0" fontId="7" fillId="24" borderId="0" xfId="0" applyFont="1" applyFill="1" applyBorder="1" applyAlignment="1">
      <alignment horizontal="left" wrapText="1"/>
    </xf>
    <xf numFmtId="0" fontId="7" fillId="24" borderId="0" xfId="0" applyFont="1" applyFill="1" applyBorder="1" applyAlignment="1">
      <alignment horizontal="left"/>
    </xf>
    <xf numFmtId="0" fontId="7" fillId="24" borderId="0" xfId="0" applyFont="1" applyFill="1" applyAlignment="1">
      <alignment horizontal="left" wrapText="1"/>
    </xf>
    <xf numFmtId="0" fontId="7" fillId="0" borderId="0" xfId="0" applyFont="1" applyBorder="1" applyAlignment="1">
      <alignment horizontal="left"/>
    </xf>
    <xf numFmtId="0" fontId="7" fillId="0" borderId="0" xfId="0" applyFont="1" applyAlignment="1">
      <alignment horizontal="left" wrapText="1"/>
    </xf>
    <xf numFmtId="0" fontId="31" fillId="0" borderId="0" xfId="0" applyFont="1" applyFill="1" applyAlignment="1">
      <alignment horizontal="center" wrapText="1"/>
    </xf>
    <xf numFmtId="0" fontId="0" fillId="0" borderId="0" xfId="0" applyFill="1" applyAlignment="1">
      <alignment horizontal="center" wrapText="1"/>
    </xf>
    <xf numFmtId="0" fontId="29" fillId="0" borderId="10" xfId="0" applyFont="1" applyFill="1" applyBorder="1" applyAlignment="1" applyProtection="1">
      <alignment horizontal="center" vertical="top" wrapText="1"/>
      <protection locked="0"/>
    </xf>
    <xf numFmtId="165" fontId="29" fillId="0" borderId="10" xfId="0" applyNumberFormat="1" applyFont="1" applyFill="1" applyBorder="1" applyAlignment="1">
      <alignment horizontal="center" vertical="top" wrapText="1"/>
    </xf>
    <xf numFmtId="0" fontId="7" fillId="0" borderId="0" xfId="0" applyFont="1" applyBorder="1" applyAlignment="1">
      <alignment horizontal="left" wrapText="1"/>
    </xf>
    <xf numFmtId="0" fontId="7" fillId="24" borderId="0" xfId="0" applyFont="1" applyFill="1" applyAlignment="1">
      <alignment horizontal="left"/>
    </xf>
    <xf numFmtId="0" fontId="29" fillId="0" borderId="12" xfId="0" applyFont="1" applyFill="1" applyBorder="1" applyAlignment="1" applyProtection="1">
      <alignment horizontal="center" vertical="top" wrapText="1"/>
      <protection locked="0"/>
    </xf>
    <xf numFmtId="0" fontId="29" fillId="0" borderId="13" xfId="0" applyFont="1" applyFill="1" applyBorder="1" applyAlignment="1" applyProtection="1">
      <alignment horizontal="center" vertical="top" wrapText="1"/>
      <protection locked="0"/>
    </xf>
  </cellXfs>
  <cellStyles count="3147">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28"/>
    <cellStyle name="Обычный 2 10 10 2" xfId="792"/>
    <cellStyle name="Обычный 2 10 10 2 2" xfId="2830"/>
    <cellStyle name="Обычный 2 10 10 2 3" xfId="1824"/>
    <cellStyle name="Обычный 2 10 10 3" xfId="2366"/>
    <cellStyle name="Обычный 2 10 10 4" xfId="1360"/>
    <cellStyle name="Обычный 2 10 11" xfId="560"/>
    <cellStyle name="Обычный 2 10 11 2" xfId="2598"/>
    <cellStyle name="Обычный 2 10 11 3" xfId="1592"/>
    <cellStyle name="Обычный 2 10 12" xfId="1026"/>
    <cellStyle name="Обычный 2 10 12 2" xfId="3064"/>
    <cellStyle name="Обычный 2 10 12 3" xfId="2058"/>
    <cellStyle name="Обычный 2 10 13" xfId="1052"/>
    <cellStyle name="Обычный 2 10 13 2" xfId="3090"/>
    <cellStyle name="Обычный 2 10 13 3" xfId="2084"/>
    <cellStyle name="Обычный 2 10 14" xfId="95"/>
    <cellStyle name="Обычный 2 10 14 2" xfId="2134"/>
    <cellStyle name="Обычный 2 10 15" xfId="1078"/>
    <cellStyle name="Обычный 2 10 15 2" xfId="3116"/>
    <cellStyle name="Обычный 2 10 16" xfId="2110"/>
    <cellStyle name="Обычный 2 10 17" xfId="1128"/>
    <cellStyle name="Обычный 2 10 2" xfId="122"/>
    <cellStyle name="Обычный 2 10 2 2" xfId="354"/>
    <cellStyle name="Обычный 2 10 2 2 2" xfId="818"/>
    <cellStyle name="Обычный 2 10 2 2 2 2" xfId="2856"/>
    <cellStyle name="Обычный 2 10 2 2 2 3" xfId="1850"/>
    <cellStyle name="Обычный 2 10 2 2 3" xfId="2392"/>
    <cellStyle name="Обычный 2 10 2 2 4" xfId="1386"/>
    <cellStyle name="Обычный 2 10 2 3" xfId="586"/>
    <cellStyle name="Обычный 2 10 2 3 2" xfId="2624"/>
    <cellStyle name="Обычный 2 10 2 3 3" xfId="1618"/>
    <cellStyle name="Обычный 2 10 2 4" xfId="1104"/>
    <cellStyle name="Обычный 2 10 2 4 2" xfId="3142"/>
    <cellStyle name="Обычный 2 10 2 5" xfId="2160"/>
    <cellStyle name="Обычный 2 10 2 6" xfId="1154"/>
    <cellStyle name="Обычный 2 10 3" xfId="148"/>
    <cellStyle name="Обычный 2 10 3 2" xfId="380"/>
    <cellStyle name="Обычный 2 10 3 2 2" xfId="844"/>
    <cellStyle name="Обычный 2 10 3 2 2 2" xfId="2882"/>
    <cellStyle name="Обычный 2 10 3 2 2 3" xfId="1876"/>
    <cellStyle name="Обычный 2 10 3 2 3" xfId="2418"/>
    <cellStyle name="Обычный 2 10 3 2 4" xfId="1412"/>
    <cellStyle name="Обычный 2 10 3 3" xfId="612"/>
    <cellStyle name="Обычный 2 10 3 3 2" xfId="2650"/>
    <cellStyle name="Обычный 2 10 3 3 3" xfId="1644"/>
    <cellStyle name="Обычный 2 10 3 4" xfId="2186"/>
    <cellStyle name="Обычный 2 10 3 5" xfId="1180"/>
    <cellStyle name="Обычный 2 10 4" xfId="174"/>
    <cellStyle name="Обычный 2 10 4 2" xfId="406"/>
    <cellStyle name="Обычный 2 10 4 2 2" xfId="870"/>
    <cellStyle name="Обычный 2 10 4 2 2 2" xfId="2908"/>
    <cellStyle name="Обычный 2 10 4 2 2 3" xfId="1902"/>
    <cellStyle name="Обычный 2 10 4 2 3" xfId="2444"/>
    <cellStyle name="Обычный 2 10 4 2 4" xfId="1438"/>
    <cellStyle name="Обычный 2 10 4 3" xfId="638"/>
    <cellStyle name="Обычный 2 10 4 3 2" xfId="2676"/>
    <cellStyle name="Обычный 2 10 4 3 3" xfId="1670"/>
    <cellStyle name="Обычный 2 10 4 4" xfId="2212"/>
    <cellStyle name="Обычный 2 10 4 5" xfId="1206"/>
    <cellStyle name="Обычный 2 10 5" xfId="200"/>
    <cellStyle name="Обычный 2 10 5 2" xfId="432"/>
    <cellStyle name="Обычный 2 10 5 2 2" xfId="896"/>
    <cellStyle name="Обычный 2 10 5 2 2 2" xfId="2934"/>
    <cellStyle name="Обычный 2 10 5 2 2 3" xfId="1928"/>
    <cellStyle name="Обычный 2 10 5 2 3" xfId="2470"/>
    <cellStyle name="Обычный 2 10 5 2 4" xfId="1464"/>
    <cellStyle name="Обычный 2 10 5 3" xfId="664"/>
    <cellStyle name="Обычный 2 10 5 3 2" xfId="2702"/>
    <cellStyle name="Обычный 2 10 5 3 3" xfId="1696"/>
    <cellStyle name="Обычный 2 10 5 4" xfId="2238"/>
    <cellStyle name="Обычный 2 10 5 5" xfId="1232"/>
    <cellStyle name="Обычный 2 10 6" xfId="226"/>
    <cellStyle name="Обычный 2 10 6 2" xfId="458"/>
    <cellStyle name="Обычный 2 10 6 2 2" xfId="922"/>
    <cellStyle name="Обычный 2 10 6 2 2 2" xfId="2960"/>
    <cellStyle name="Обычный 2 10 6 2 2 3" xfId="1954"/>
    <cellStyle name="Обычный 2 10 6 2 3" xfId="2496"/>
    <cellStyle name="Обычный 2 10 6 2 4" xfId="1490"/>
    <cellStyle name="Обычный 2 10 6 3" xfId="690"/>
    <cellStyle name="Обычный 2 10 6 3 2" xfId="2728"/>
    <cellStyle name="Обычный 2 10 6 3 3" xfId="1722"/>
    <cellStyle name="Обычный 2 10 6 4" xfId="2264"/>
    <cellStyle name="Обычный 2 10 6 5" xfId="1258"/>
    <cellStyle name="Обычный 2 10 7" xfId="252"/>
    <cellStyle name="Обычный 2 10 7 2" xfId="484"/>
    <cellStyle name="Обычный 2 10 7 2 2" xfId="948"/>
    <cellStyle name="Обычный 2 10 7 2 2 2" xfId="2986"/>
    <cellStyle name="Обычный 2 10 7 2 2 3" xfId="1980"/>
    <cellStyle name="Обычный 2 10 7 2 3" xfId="2522"/>
    <cellStyle name="Обычный 2 10 7 2 4" xfId="1516"/>
    <cellStyle name="Обычный 2 10 7 3" xfId="716"/>
    <cellStyle name="Обычный 2 10 7 3 2" xfId="2754"/>
    <cellStyle name="Обычный 2 10 7 3 3" xfId="1748"/>
    <cellStyle name="Обычный 2 10 7 4" xfId="2290"/>
    <cellStyle name="Обычный 2 10 7 5" xfId="1284"/>
    <cellStyle name="Обычный 2 10 8" xfId="278"/>
    <cellStyle name="Обычный 2 10 8 2" xfId="510"/>
    <cellStyle name="Обычный 2 10 8 2 2" xfId="974"/>
    <cellStyle name="Обычный 2 10 8 2 2 2" xfId="3012"/>
    <cellStyle name="Обычный 2 10 8 2 2 3" xfId="2006"/>
    <cellStyle name="Обычный 2 10 8 2 3" xfId="2548"/>
    <cellStyle name="Обычный 2 10 8 2 4" xfId="1542"/>
    <cellStyle name="Обычный 2 10 8 3" xfId="742"/>
    <cellStyle name="Обычный 2 10 8 3 2" xfId="2780"/>
    <cellStyle name="Обычный 2 10 8 3 3" xfId="1774"/>
    <cellStyle name="Обычный 2 10 8 4" xfId="2316"/>
    <cellStyle name="Обычный 2 10 8 5" xfId="1310"/>
    <cellStyle name="Обычный 2 10 9" xfId="304"/>
    <cellStyle name="Обычный 2 10 9 2" xfId="536"/>
    <cellStyle name="Обычный 2 10 9 2 2" xfId="1000"/>
    <cellStyle name="Обычный 2 10 9 2 2 2" xfId="3038"/>
    <cellStyle name="Обычный 2 10 9 2 2 3" xfId="2032"/>
    <cellStyle name="Обычный 2 10 9 2 3" xfId="2574"/>
    <cellStyle name="Обычный 2 10 9 2 4" xfId="1568"/>
    <cellStyle name="Обычный 2 10 9 3" xfId="768"/>
    <cellStyle name="Обычный 2 10 9 3 2" xfId="2806"/>
    <cellStyle name="Обычный 2 10 9 3 3" xfId="1800"/>
    <cellStyle name="Обычный 2 10 9 4" xfId="2342"/>
    <cellStyle name="Обычный 2 10 9 5" xfId="1336"/>
    <cellStyle name="Обычный 2 11" xfId="73"/>
    <cellStyle name="Обычный 2 11 10" xfId="330"/>
    <cellStyle name="Обычный 2 11 10 2" xfId="794"/>
    <cellStyle name="Обычный 2 11 10 2 2" xfId="2832"/>
    <cellStyle name="Обычный 2 11 10 2 3" xfId="1826"/>
    <cellStyle name="Обычный 2 11 10 3" xfId="2368"/>
    <cellStyle name="Обычный 2 11 10 4" xfId="1362"/>
    <cellStyle name="Обычный 2 11 11" xfId="562"/>
    <cellStyle name="Обычный 2 11 11 2" xfId="2600"/>
    <cellStyle name="Обычный 2 11 11 3" xfId="1594"/>
    <cellStyle name="Обычный 2 11 12" xfId="1028"/>
    <cellStyle name="Обычный 2 11 12 2" xfId="3066"/>
    <cellStyle name="Обычный 2 11 12 3" xfId="2060"/>
    <cellStyle name="Обычный 2 11 13" xfId="1054"/>
    <cellStyle name="Обычный 2 11 13 2" xfId="3092"/>
    <cellStyle name="Обычный 2 11 13 3" xfId="2086"/>
    <cellStyle name="Обычный 2 11 14" xfId="97"/>
    <cellStyle name="Обычный 2 11 14 2" xfId="2136"/>
    <cellStyle name="Обычный 2 11 15" xfId="1080"/>
    <cellStyle name="Обычный 2 11 15 2" xfId="3118"/>
    <cellStyle name="Обычный 2 11 16" xfId="2112"/>
    <cellStyle name="Обычный 2 11 17" xfId="1130"/>
    <cellStyle name="Обычный 2 11 2" xfId="124"/>
    <cellStyle name="Обычный 2 11 2 2" xfId="356"/>
    <cellStyle name="Обычный 2 11 2 2 2" xfId="820"/>
    <cellStyle name="Обычный 2 11 2 2 2 2" xfId="2858"/>
    <cellStyle name="Обычный 2 11 2 2 2 3" xfId="1852"/>
    <cellStyle name="Обычный 2 11 2 2 3" xfId="2394"/>
    <cellStyle name="Обычный 2 11 2 2 4" xfId="1388"/>
    <cellStyle name="Обычный 2 11 2 3" xfId="588"/>
    <cellStyle name="Обычный 2 11 2 3 2" xfId="2626"/>
    <cellStyle name="Обычный 2 11 2 3 3" xfId="1620"/>
    <cellStyle name="Обычный 2 11 2 4" xfId="1106"/>
    <cellStyle name="Обычный 2 11 2 4 2" xfId="3144"/>
    <cellStyle name="Обычный 2 11 2 5" xfId="2162"/>
    <cellStyle name="Обычный 2 11 2 6" xfId="1156"/>
    <cellStyle name="Обычный 2 11 3" xfId="150"/>
    <cellStyle name="Обычный 2 11 3 2" xfId="382"/>
    <cellStyle name="Обычный 2 11 3 2 2" xfId="846"/>
    <cellStyle name="Обычный 2 11 3 2 2 2" xfId="2884"/>
    <cellStyle name="Обычный 2 11 3 2 2 3" xfId="1878"/>
    <cellStyle name="Обычный 2 11 3 2 3" xfId="2420"/>
    <cellStyle name="Обычный 2 11 3 2 4" xfId="1414"/>
    <cellStyle name="Обычный 2 11 3 3" xfId="614"/>
    <cellStyle name="Обычный 2 11 3 3 2" xfId="2652"/>
    <cellStyle name="Обычный 2 11 3 3 3" xfId="1646"/>
    <cellStyle name="Обычный 2 11 3 4" xfId="2188"/>
    <cellStyle name="Обычный 2 11 3 5" xfId="1182"/>
    <cellStyle name="Обычный 2 11 4" xfId="176"/>
    <cellStyle name="Обычный 2 11 4 2" xfId="408"/>
    <cellStyle name="Обычный 2 11 4 2 2" xfId="872"/>
    <cellStyle name="Обычный 2 11 4 2 2 2" xfId="2910"/>
    <cellStyle name="Обычный 2 11 4 2 2 3" xfId="1904"/>
    <cellStyle name="Обычный 2 11 4 2 3" xfId="2446"/>
    <cellStyle name="Обычный 2 11 4 2 4" xfId="1440"/>
    <cellStyle name="Обычный 2 11 4 3" xfId="640"/>
    <cellStyle name="Обычный 2 11 4 3 2" xfId="2678"/>
    <cellStyle name="Обычный 2 11 4 3 3" xfId="1672"/>
    <cellStyle name="Обычный 2 11 4 4" xfId="2214"/>
    <cellStyle name="Обычный 2 11 4 5" xfId="1208"/>
    <cellStyle name="Обычный 2 11 5" xfId="202"/>
    <cellStyle name="Обычный 2 11 5 2" xfId="434"/>
    <cellStyle name="Обычный 2 11 5 2 2" xfId="898"/>
    <cellStyle name="Обычный 2 11 5 2 2 2" xfId="2936"/>
    <cellStyle name="Обычный 2 11 5 2 2 3" xfId="1930"/>
    <cellStyle name="Обычный 2 11 5 2 3" xfId="2472"/>
    <cellStyle name="Обычный 2 11 5 2 4" xfId="1466"/>
    <cellStyle name="Обычный 2 11 5 3" xfId="666"/>
    <cellStyle name="Обычный 2 11 5 3 2" xfId="2704"/>
    <cellStyle name="Обычный 2 11 5 3 3" xfId="1698"/>
    <cellStyle name="Обычный 2 11 5 4" xfId="2240"/>
    <cellStyle name="Обычный 2 11 5 5" xfId="1234"/>
    <cellStyle name="Обычный 2 11 6" xfId="228"/>
    <cellStyle name="Обычный 2 11 6 2" xfId="460"/>
    <cellStyle name="Обычный 2 11 6 2 2" xfId="924"/>
    <cellStyle name="Обычный 2 11 6 2 2 2" xfId="2962"/>
    <cellStyle name="Обычный 2 11 6 2 2 3" xfId="1956"/>
    <cellStyle name="Обычный 2 11 6 2 3" xfId="2498"/>
    <cellStyle name="Обычный 2 11 6 2 4" xfId="1492"/>
    <cellStyle name="Обычный 2 11 6 3" xfId="692"/>
    <cellStyle name="Обычный 2 11 6 3 2" xfId="2730"/>
    <cellStyle name="Обычный 2 11 6 3 3" xfId="1724"/>
    <cellStyle name="Обычный 2 11 6 4" xfId="2266"/>
    <cellStyle name="Обычный 2 11 6 5" xfId="1260"/>
    <cellStyle name="Обычный 2 11 7" xfId="254"/>
    <cellStyle name="Обычный 2 11 7 2" xfId="486"/>
    <cellStyle name="Обычный 2 11 7 2 2" xfId="950"/>
    <cellStyle name="Обычный 2 11 7 2 2 2" xfId="2988"/>
    <cellStyle name="Обычный 2 11 7 2 2 3" xfId="1982"/>
    <cellStyle name="Обычный 2 11 7 2 3" xfId="2524"/>
    <cellStyle name="Обычный 2 11 7 2 4" xfId="1518"/>
    <cellStyle name="Обычный 2 11 7 3" xfId="718"/>
    <cellStyle name="Обычный 2 11 7 3 2" xfId="2756"/>
    <cellStyle name="Обычный 2 11 7 3 3" xfId="1750"/>
    <cellStyle name="Обычный 2 11 7 4" xfId="2292"/>
    <cellStyle name="Обычный 2 11 7 5" xfId="1286"/>
    <cellStyle name="Обычный 2 11 8" xfId="280"/>
    <cellStyle name="Обычный 2 11 8 2" xfId="512"/>
    <cellStyle name="Обычный 2 11 8 2 2" xfId="976"/>
    <cellStyle name="Обычный 2 11 8 2 2 2" xfId="3014"/>
    <cellStyle name="Обычный 2 11 8 2 2 3" xfId="2008"/>
    <cellStyle name="Обычный 2 11 8 2 3" xfId="2550"/>
    <cellStyle name="Обычный 2 11 8 2 4" xfId="1544"/>
    <cellStyle name="Обычный 2 11 8 3" xfId="744"/>
    <cellStyle name="Обычный 2 11 8 3 2" xfId="2782"/>
    <cellStyle name="Обычный 2 11 8 3 3" xfId="1776"/>
    <cellStyle name="Обычный 2 11 8 4" xfId="2318"/>
    <cellStyle name="Обычный 2 11 8 5" xfId="1312"/>
    <cellStyle name="Обычный 2 11 9" xfId="306"/>
    <cellStyle name="Обычный 2 11 9 2" xfId="538"/>
    <cellStyle name="Обычный 2 11 9 2 2" xfId="1002"/>
    <cellStyle name="Обычный 2 11 9 2 2 2" xfId="3040"/>
    <cellStyle name="Обычный 2 11 9 2 2 3" xfId="2034"/>
    <cellStyle name="Обычный 2 11 9 2 3" xfId="2576"/>
    <cellStyle name="Обычный 2 11 9 2 4" xfId="1570"/>
    <cellStyle name="Обычный 2 11 9 3" xfId="770"/>
    <cellStyle name="Обычный 2 11 9 3 2" xfId="2808"/>
    <cellStyle name="Обычный 2 11 9 3 3" xfId="1802"/>
    <cellStyle name="Обычный 2 11 9 4" xfId="2344"/>
    <cellStyle name="Обычный 2 11 9 5" xfId="1338"/>
    <cellStyle name="Обычный 2 12" xfId="75"/>
    <cellStyle name="Обычный 2 12 10" xfId="332"/>
    <cellStyle name="Обычный 2 12 10 2" xfId="796"/>
    <cellStyle name="Обычный 2 12 10 2 2" xfId="2834"/>
    <cellStyle name="Обычный 2 12 10 2 3" xfId="1828"/>
    <cellStyle name="Обычный 2 12 10 3" xfId="2370"/>
    <cellStyle name="Обычный 2 12 10 4" xfId="1364"/>
    <cellStyle name="Обычный 2 12 11" xfId="564"/>
    <cellStyle name="Обычный 2 12 11 2" xfId="2602"/>
    <cellStyle name="Обычный 2 12 11 3" xfId="1596"/>
    <cellStyle name="Обычный 2 12 12" xfId="1030"/>
    <cellStyle name="Обычный 2 12 12 2" xfId="3068"/>
    <cellStyle name="Обычный 2 12 12 3" xfId="2062"/>
    <cellStyle name="Обычный 2 12 13" xfId="1056"/>
    <cellStyle name="Обычный 2 12 13 2" xfId="3094"/>
    <cellStyle name="Обычный 2 12 13 3" xfId="2088"/>
    <cellStyle name="Обычный 2 12 14" xfId="99"/>
    <cellStyle name="Обычный 2 12 14 2" xfId="2138"/>
    <cellStyle name="Обычный 2 12 15" xfId="1082"/>
    <cellStyle name="Обычный 2 12 15 2" xfId="3120"/>
    <cellStyle name="Обычный 2 12 16" xfId="2114"/>
    <cellStyle name="Обычный 2 12 17" xfId="1132"/>
    <cellStyle name="Обычный 2 12 2" xfId="126"/>
    <cellStyle name="Обычный 2 12 2 2" xfId="358"/>
    <cellStyle name="Обычный 2 12 2 2 2" xfId="822"/>
    <cellStyle name="Обычный 2 12 2 2 2 2" xfId="2860"/>
    <cellStyle name="Обычный 2 12 2 2 2 3" xfId="1854"/>
    <cellStyle name="Обычный 2 12 2 2 3" xfId="2396"/>
    <cellStyle name="Обычный 2 12 2 2 4" xfId="1390"/>
    <cellStyle name="Обычный 2 12 2 3" xfId="590"/>
    <cellStyle name="Обычный 2 12 2 3 2" xfId="2628"/>
    <cellStyle name="Обычный 2 12 2 3 3" xfId="1622"/>
    <cellStyle name="Обычный 2 12 2 4" xfId="1108"/>
    <cellStyle name="Обычный 2 12 2 4 2" xfId="3146"/>
    <cellStyle name="Обычный 2 12 2 5" xfId="2164"/>
    <cellStyle name="Обычный 2 12 2 6" xfId="1158"/>
    <cellStyle name="Обычный 2 12 3" xfId="152"/>
    <cellStyle name="Обычный 2 12 3 2" xfId="384"/>
    <cellStyle name="Обычный 2 12 3 2 2" xfId="848"/>
    <cellStyle name="Обычный 2 12 3 2 2 2" xfId="2886"/>
    <cellStyle name="Обычный 2 12 3 2 2 3" xfId="1880"/>
    <cellStyle name="Обычный 2 12 3 2 3" xfId="2422"/>
    <cellStyle name="Обычный 2 12 3 2 4" xfId="1416"/>
    <cellStyle name="Обычный 2 12 3 3" xfId="616"/>
    <cellStyle name="Обычный 2 12 3 3 2" xfId="2654"/>
    <cellStyle name="Обычный 2 12 3 3 3" xfId="1648"/>
    <cellStyle name="Обычный 2 12 3 4" xfId="2190"/>
    <cellStyle name="Обычный 2 12 3 5" xfId="1184"/>
    <cellStyle name="Обычный 2 12 4" xfId="178"/>
    <cellStyle name="Обычный 2 12 4 2" xfId="410"/>
    <cellStyle name="Обычный 2 12 4 2 2" xfId="874"/>
    <cellStyle name="Обычный 2 12 4 2 2 2" xfId="2912"/>
    <cellStyle name="Обычный 2 12 4 2 2 3" xfId="1906"/>
    <cellStyle name="Обычный 2 12 4 2 3" xfId="2448"/>
    <cellStyle name="Обычный 2 12 4 2 4" xfId="1442"/>
    <cellStyle name="Обычный 2 12 4 3" xfId="642"/>
    <cellStyle name="Обычный 2 12 4 3 2" xfId="2680"/>
    <cellStyle name="Обычный 2 12 4 3 3" xfId="1674"/>
    <cellStyle name="Обычный 2 12 4 4" xfId="2216"/>
    <cellStyle name="Обычный 2 12 4 5" xfId="1210"/>
    <cellStyle name="Обычный 2 12 5" xfId="204"/>
    <cellStyle name="Обычный 2 12 5 2" xfId="436"/>
    <cellStyle name="Обычный 2 12 5 2 2" xfId="900"/>
    <cellStyle name="Обычный 2 12 5 2 2 2" xfId="2938"/>
    <cellStyle name="Обычный 2 12 5 2 2 3" xfId="1932"/>
    <cellStyle name="Обычный 2 12 5 2 3" xfId="2474"/>
    <cellStyle name="Обычный 2 12 5 2 4" xfId="1468"/>
    <cellStyle name="Обычный 2 12 5 3" xfId="668"/>
    <cellStyle name="Обычный 2 12 5 3 2" xfId="2706"/>
    <cellStyle name="Обычный 2 12 5 3 3" xfId="1700"/>
    <cellStyle name="Обычный 2 12 5 4" xfId="2242"/>
    <cellStyle name="Обычный 2 12 5 5" xfId="1236"/>
    <cellStyle name="Обычный 2 12 6" xfId="230"/>
    <cellStyle name="Обычный 2 12 6 2" xfId="462"/>
    <cellStyle name="Обычный 2 12 6 2 2" xfId="926"/>
    <cellStyle name="Обычный 2 12 6 2 2 2" xfId="2964"/>
    <cellStyle name="Обычный 2 12 6 2 2 3" xfId="1958"/>
    <cellStyle name="Обычный 2 12 6 2 3" xfId="2500"/>
    <cellStyle name="Обычный 2 12 6 2 4" xfId="1494"/>
    <cellStyle name="Обычный 2 12 6 3" xfId="694"/>
    <cellStyle name="Обычный 2 12 6 3 2" xfId="2732"/>
    <cellStyle name="Обычный 2 12 6 3 3" xfId="1726"/>
    <cellStyle name="Обычный 2 12 6 4" xfId="2268"/>
    <cellStyle name="Обычный 2 12 6 5" xfId="1262"/>
    <cellStyle name="Обычный 2 12 7" xfId="256"/>
    <cellStyle name="Обычный 2 12 7 2" xfId="488"/>
    <cellStyle name="Обычный 2 12 7 2 2" xfId="952"/>
    <cellStyle name="Обычный 2 12 7 2 2 2" xfId="2990"/>
    <cellStyle name="Обычный 2 12 7 2 2 3" xfId="1984"/>
    <cellStyle name="Обычный 2 12 7 2 3" xfId="2526"/>
    <cellStyle name="Обычный 2 12 7 2 4" xfId="1520"/>
    <cellStyle name="Обычный 2 12 7 3" xfId="720"/>
    <cellStyle name="Обычный 2 12 7 3 2" xfId="2758"/>
    <cellStyle name="Обычный 2 12 7 3 3" xfId="1752"/>
    <cellStyle name="Обычный 2 12 7 4" xfId="2294"/>
    <cellStyle name="Обычный 2 12 7 5" xfId="1288"/>
    <cellStyle name="Обычный 2 12 8" xfId="282"/>
    <cellStyle name="Обычный 2 12 8 2" xfId="514"/>
    <cellStyle name="Обычный 2 12 8 2 2" xfId="978"/>
    <cellStyle name="Обычный 2 12 8 2 2 2" xfId="3016"/>
    <cellStyle name="Обычный 2 12 8 2 2 3" xfId="2010"/>
    <cellStyle name="Обычный 2 12 8 2 3" xfId="2552"/>
    <cellStyle name="Обычный 2 12 8 2 4" xfId="1546"/>
    <cellStyle name="Обычный 2 12 8 3" xfId="746"/>
    <cellStyle name="Обычный 2 12 8 3 2" xfId="2784"/>
    <cellStyle name="Обычный 2 12 8 3 3" xfId="1778"/>
    <cellStyle name="Обычный 2 12 8 4" xfId="2320"/>
    <cellStyle name="Обычный 2 12 8 5" xfId="1314"/>
    <cellStyle name="Обычный 2 12 9" xfId="308"/>
    <cellStyle name="Обычный 2 12 9 2" xfId="540"/>
    <cellStyle name="Обычный 2 12 9 2 2" xfId="1004"/>
    <cellStyle name="Обычный 2 12 9 2 2 2" xfId="3042"/>
    <cellStyle name="Обычный 2 12 9 2 2 3" xfId="2036"/>
    <cellStyle name="Обычный 2 12 9 2 3" xfId="2578"/>
    <cellStyle name="Обычный 2 12 9 2 4" xfId="1572"/>
    <cellStyle name="Обычный 2 12 9 3" xfId="772"/>
    <cellStyle name="Обычный 2 12 9 3 2" xfId="2810"/>
    <cellStyle name="Обычный 2 12 9 3 3" xfId="1804"/>
    <cellStyle name="Обычный 2 12 9 4" xfId="2346"/>
    <cellStyle name="Обычный 2 12 9 5" xfId="1340"/>
    <cellStyle name="Обычный 2 13" xfId="51"/>
    <cellStyle name="Обычный 2 13 10" xfId="568"/>
    <cellStyle name="Обычный 2 13 10 2" xfId="2606"/>
    <cellStyle name="Обычный 2 13 10 3" xfId="1600"/>
    <cellStyle name="Обычный 2 13 11" xfId="1008"/>
    <cellStyle name="Обычный 2 13 11 2" xfId="3046"/>
    <cellStyle name="Обычный 2 13 11 3" xfId="2040"/>
    <cellStyle name="Обычный 2 13 12" xfId="1034"/>
    <cellStyle name="Обычный 2 13 12 2" xfId="3072"/>
    <cellStyle name="Обычный 2 13 12 3" xfId="2066"/>
    <cellStyle name="Обычный 2 13 13" xfId="104"/>
    <cellStyle name="Обычный 2 13 13 2" xfId="2142"/>
    <cellStyle name="Обычный 2 13 14" xfId="1060"/>
    <cellStyle name="Обычный 2 13 14 2" xfId="3098"/>
    <cellStyle name="Обычный 2 13 15" xfId="2092"/>
    <cellStyle name="Обычный 2 13 16" xfId="1136"/>
    <cellStyle name="Обычный 2 13 2" xfId="130"/>
    <cellStyle name="Обычный 2 13 2 2" xfId="362"/>
    <cellStyle name="Обычный 2 13 2 2 2" xfId="826"/>
    <cellStyle name="Обычный 2 13 2 2 2 2" xfId="2864"/>
    <cellStyle name="Обычный 2 13 2 2 2 3" xfId="1858"/>
    <cellStyle name="Обычный 2 13 2 2 3" xfId="2400"/>
    <cellStyle name="Обычный 2 13 2 2 4" xfId="1394"/>
    <cellStyle name="Обычный 2 13 2 3" xfId="594"/>
    <cellStyle name="Обычный 2 13 2 3 2" xfId="2632"/>
    <cellStyle name="Обычный 2 13 2 3 3" xfId="1626"/>
    <cellStyle name="Обычный 2 13 2 4" xfId="1086"/>
    <cellStyle name="Обычный 2 13 2 4 2" xfId="3124"/>
    <cellStyle name="Обычный 2 13 2 5" xfId="2168"/>
    <cellStyle name="Обычный 2 13 2 6" xfId="1162"/>
    <cellStyle name="Обычный 2 13 3" xfId="156"/>
    <cellStyle name="Обычный 2 13 3 2" xfId="388"/>
    <cellStyle name="Обычный 2 13 3 2 2" xfId="852"/>
    <cellStyle name="Обычный 2 13 3 2 2 2" xfId="2890"/>
    <cellStyle name="Обычный 2 13 3 2 2 3" xfId="1884"/>
    <cellStyle name="Обычный 2 13 3 2 3" xfId="2426"/>
    <cellStyle name="Обычный 2 13 3 2 4" xfId="1420"/>
    <cellStyle name="Обычный 2 13 3 3" xfId="620"/>
    <cellStyle name="Обычный 2 13 3 3 2" xfId="2658"/>
    <cellStyle name="Обычный 2 13 3 3 3" xfId="1652"/>
    <cellStyle name="Обычный 2 13 3 4" xfId="2194"/>
    <cellStyle name="Обычный 2 13 3 5" xfId="1188"/>
    <cellStyle name="Обычный 2 13 4" xfId="182"/>
    <cellStyle name="Обычный 2 13 4 2" xfId="414"/>
    <cellStyle name="Обычный 2 13 4 2 2" xfId="878"/>
    <cellStyle name="Обычный 2 13 4 2 2 2" xfId="2916"/>
    <cellStyle name="Обычный 2 13 4 2 2 3" xfId="1910"/>
    <cellStyle name="Обычный 2 13 4 2 3" xfId="2452"/>
    <cellStyle name="Обычный 2 13 4 2 4" xfId="1446"/>
    <cellStyle name="Обычный 2 13 4 3" xfId="646"/>
    <cellStyle name="Обычный 2 13 4 3 2" xfId="2684"/>
    <cellStyle name="Обычный 2 13 4 3 3" xfId="1678"/>
    <cellStyle name="Обычный 2 13 4 4" xfId="2220"/>
    <cellStyle name="Обычный 2 13 4 5" xfId="1214"/>
    <cellStyle name="Обычный 2 13 5" xfId="208"/>
    <cellStyle name="Обычный 2 13 5 2" xfId="440"/>
    <cellStyle name="Обычный 2 13 5 2 2" xfId="904"/>
    <cellStyle name="Обычный 2 13 5 2 2 2" xfId="2942"/>
    <cellStyle name="Обычный 2 13 5 2 2 3" xfId="1936"/>
    <cellStyle name="Обычный 2 13 5 2 3" xfId="2478"/>
    <cellStyle name="Обычный 2 13 5 2 4" xfId="1472"/>
    <cellStyle name="Обычный 2 13 5 3" xfId="672"/>
    <cellStyle name="Обычный 2 13 5 3 2" xfId="2710"/>
    <cellStyle name="Обычный 2 13 5 3 3" xfId="1704"/>
    <cellStyle name="Обычный 2 13 5 4" xfId="2246"/>
    <cellStyle name="Обычный 2 13 5 5" xfId="1240"/>
    <cellStyle name="Обычный 2 13 6" xfId="234"/>
    <cellStyle name="Обычный 2 13 6 2" xfId="466"/>
    <cellStyle name="Обычный 2 13 6 2 2" xfId="930"/>
    <cellStyle name="Обычный 2 13 6 2 2 2" xfId="2968"/>
    <cellStyle name="Обычный 2 13 6 2 2 3" xfId="1962"/>
    <cellStyle name="Обычный 2 13 6 2 3" xfId="2504"/>
    <cellStyle name="Обычный 2 13 6 2 4" xfId="1498"/>
    <cellStyle name="Обычный 2 13 6 3" xfId="698"/>
    <cellStyle name="Обычный 2 13 6 3 2" xfId="2736"/>
    <cellStyle name="Обычный 2 13 6 3 3" xfId="1730"/>
    <cellStyle name="Обычный 2 13 6 4" xfId="2272"/>
    <cellStyle name="Обычный 2 13 6 5" xfId="1266"/>
    <cellStyle name="Обычный 2 13 7" xfId="260"/>
    <cellStyle name="Обычный 2 13 7 2" xfId="492"/>
    <cellStyle name="Обычный 2 13 7 2 2" xfId="956"/>
    <cellStyle name="Обычный 2 13 7 2 2 2" xfId="2994"/>
    <cellStyle name="Обычный 2 13 7 2 2 3" xfId="1988"/>
    <cellStyle name="Обычный 2 13 7 2 3" xfId="2530"/>
    <cellStyle name="Обычный 2 13 7 2 4" xfId="1524"/>
    <cellStyle name="Обычный 2 13 7 3" xfId="724"/>
    <cellStyle name="Обычный 2 13 7 3 2" xfId="2762"/>
    <cellStyle name="Обычный 2 13 7 3 3" xfId="1756"/>
    <cellStyle name="Обычный 2 13 7 4" xfId="2298"/>
    <cellStyle name="Обычный 2 13 7 5" xfId="1292"/>
    <cellStyle name="Обычный 2 13 8" xfId="286"/>
    <cellStyle name="Обычный 2 13 8 2" xfId="518"/>
    <cellStyle name="Обычный 2 13 8 2 2" xfId="982"/>
    <cellStyle name="Обычный 2 13 8 2 2 2" xfId="3020"/>
    <cellStyle name="Обычный 2 13 8 2 2 3" xfId="2014"/>
    <cellStyle name="Обычный 2 13 8 2 3" xfId="2556"/>
    <cellStyle name="Обычный 2 13 8 2 4" xfId="1550"/>
    <cellStyle name="Обычный 2 13 8 3" xfId="750"/>
    <cellStyle name="Обычный 2 13 8 3 2" xfId="2788"/>
    <cellStyle name="Обычный 2 13 8 3 3" xfId="1782"/>
    <cellStyle name="Обычный 2 13 8 4" xfId="2324"/>
    <cellStyle name="Обычный 2 13 8 5" xfId="1318"/>
    <cellStyle name="Обычный 2 13 9" xfId="336"/>
    <cellStyle name="Обычный 2 13 9 2" xfId="800"/>
    <cellStyle name="Обычный 2 13 9 2 2" xfId="2838"/>
    <cellStyle name="Обычный 2 13 9 2 3" xfId="1832"/>
    <cellStyle name="Обычный 2 13 9 3" xfId="2374"/>
    <cellStyle name="Обычный 2 13 9 4" xfId="1368"/>
    <cellStyle name="Обычный 2 14" xfId="101"/>
    <cellStyle name="Обычный 2 14 2" xfId="334"/>
    <cellStyle name="Обычный 2 14 2 2" xfId="798"/>
    <cellStyle name="Обычный 2 14 2 2 2" xfId="2836"/>
    <cellStyle name="Обычный 2 14 2 2 3" xfId="1830"/>
    <cellStyle name="Обычный 2 14 2 3" xfId="2372"/>
    <cellStyle name="Обычный 2 14 2 4" xfId="1366"/>
    <cellStyle name="Обычный 2 14 3" xfId="566"/>
    <cellStyle name="Обычный 2 14 3 2" xfId="2604"/>
    <cellStyle name="Обычный 2 14 3 3" xfId="1598"/>
    <cellStyle name="Обычный 2 14 4" xfId="1084"/>
    <cellStyle name="Обычный 2 14 4 2" xfId="3122"/>
    <cellStyle name="Обычный 2 14 5" xfId="2140"/>
    <cellStyle name="Обычный 2 14 6" xfId="1134"/>
    <cellStyle name="Обычный 2 15" xfId="128"/>
    <cellStyle name="Обычный 2 15 2" xfId="360"/>
    <cellStyle name="Обычный 2 15 2 2" xfId="824"/>
    <cellStyle name="Обычный 2 15 2 2 2" xfId="2862"/>
    <cellStyle name="Обычный 2 15 2 2 3" xfId="1856"/>
    <cellStyle name="Обычный 2 15 2 3" xfId="2398"/>
    <cellStyle name="Обычный 2 15 2 4" xfId="1392"/>
    <cellStyle name="Обычный 2 15 3" xfId="592"/>
    <cellStyle name="Обычный 2 15 3 2" xfId="2630"/>
    <cellStyle name="Обычный 2 15 3 3" xfId="1624"/>
    <cellStyle name="Обычный 2 15 4" xfId="2166"/>
    <cellStyle name="Обычный 2 15 5" xfId="1160"/>
    <cellStyle name="Обычный 2 16" xfId="154"/>
    <cellStyle name="Обычный 2 16 2" xfId="386"/>
    <cellStyle name="Обычный 2 16 2 2" xfId="850"/>
    <cellStyle name="Обычный 2 16 2 2 2" xfId="2888"/>
    <cellStyle name="Обычный 2 16 2 2 3" xfId="1882"/>
    <cellStyle name="Обычный 2 16 2 3" xfId="2424"/>
    <cellStyle name="Обычный 2 16 2 4" xfId="1418"/>
    <cellStyle name="Обычный 2 16 3" xfId="618"/>
    <cellStyle name="Обычный 2 16 3 2" xfId="2656"/>
    <cellStyle name="Обычный 2 16 3 3" xfId="1650"/>
    <cellStyle name="Обычный 2 16 4" xfId="2192"/>
    <cellStyle name="Обычный 2 16 5" xfId="1186"/>
    <cellStyle name="Обычный 2 17" xfId="180"/>
    <cellStyle name="Обычный 2 17 2" xfId="412"/>
    <cellStyle name="Обычный 2 17 2 2" xfId="876"/>
    <cellStyle name="Обычный 2 17 2 2 2" xfId="2914"/>
    <cellStyle name="Обычный 2 17 2 2 3" xfId="1908"/>
    <cellStyle name="Обычный 2 17 2 3" xfId="2450"/>
    <cellStyle name="Обычный 2 17 2 4" xfId="1444"/>
    <cellStyle name="Обычный 2 17 3" xfId="644"/>
    <cellStyle name="Обычный 2 17 3 2" xfId="2682"/>
    <cellStyle name="Обычный 2 17 3 3" xfId="1676"/>
    <cellStyle name="Обычный 2 17 4" xfId="2218"/>
    <cellStyle name="Обычный 2 17 5" xfId="1212"/>
    <cellStyle name="Обычный 2 18" xfId="206"/>
    <cellStyle name="Обычный 2 18 2" xfId="438"/>
    <cellStyle name="Обычный 2 18 2 2" xfId="902"/>
    <cellStyle name="Обычный 2 18 2 2 2" xfId="2940"/>
    <cellStyle name="Обычный 2 18 2 2 3" xfId="1934"/>
    <cellStyle name="Обычный 2 18 2 3" xfId="2476"/>
    <cellStyle name="Обычный 2 18 2 4" xfId="1470"/>
    <cellStyle name="Обычный 2 18 3" xfId="670"/>
    <cellStyle name="Обычный 2 18 3 2" xfId="2708"/>
    <cellStyle name="Обычный 2 18 3 3" xfId="1702"/>
    <cellStyle name="Обычный 2 18 4" xfId="2244"/>
    <cellStyle name="Обычный 2 18 5" xfId="1238"/>
    <cellStyle name="Обычный 2 19" xfId="232"/>
    <cellStyle name="Обычный 2 19 2" xfId="464"/>
    <cellStyle name="Обычный 2 19 2 2" xfId="928"/>
    <cellStyle name="Обычный 2 19 2 2 2" xfId="2966"/>
    <cellStyle name="Обычный 2 19 2 2 3" xfId="1960"/>
    <cellStyle name="Обычный 2 19 2 3" xfId="2502"/>
    <cellStyle name="Обычный 2 19 2 4" xfId="1496"/>
    <cellStyle name="Обычный 2 19 3" xfId="696"/>
    <cellStyle name="Обычный 2 19 3 2" xfId="2734"/>
    <cellStyle name="Обычный 2 19 3 3" xfId="1728"/>
    <cellStyle name="Обычный 2 19 4" xfId="2270"/>
    <cellStyle name="Обычный 2 19 5" xfId="1264"/>
    <cellStyle name="Обычный 2 2" xfId="55"/>
    <cellStyle name="Обычный 2 2 10" xfId="288"/>
    <cellStyle name="Обычный 2 2 10 2" xfId="520"/>
    <cellStyle name="Обычный 2 2 10 2 2" xfId="984"/>
    <cellStyle name="Обычный 2 2 10 2 2 2" xfId="3022"/>
    <cellStyle name="Обычный 2 2 10 2 2 3" xfId="2016"/>
    <cellStyle name="Обычный 2 2 10 2 3" xfId="2558"/>
    <cellStyle name="Обычный 2 2 10 2 4" xfId="1552"/>
    <cellStyle name="Обычный 2 2 10 3" xfId="752"/>
    <cellStyle name="Обычный 2 2 10 3 2" xfId="2790"/>
    <cellStyle name="Обычный 2 2 10 3 3" xfId="1784"/>
    <cellStyle name="Обычный 2 2 10 4" xfId="2326"/>
    <cellStyle name="Обычный 2 2 10 5" xfId="1320"/>
    <cellStyle name="Обычный 2 2 11" xfId="312"/>
    <cellStyle name="Обычный 2 2 11 2" xfId="776"/>
    <cellStyle name="Обычный 2 2 11 2 2" xfId="2814"/>
    <cellStyle name="Обычный 2 2 11 2 3" xfId="1808"/>
    <cellStyle name="Обычный 2 2 11 3" xfId="2350"/>
    <cellStyle name="Обычный 2 2 11 4" xfId="1344"/>
    <cellStyle name="Обычный 2 2 12" xfId="544"/>
    <cellStyle name="Обычный 2 2 12 2" xfId="2582"/>
    <cellStyle name="Обычный 2 2 12 3" xfId="1576"/>
    <cellStyle name="Обычный 2 2 13" xfId="1010"/>
    <cellStyle name="Обычный 2 2 13 2" xfId="3048"/>
    <cellStyle name="Обычный 2 2 13 3" xfId="2042"/>
    <cellStyle name="Обычный 2 2 14" xfId="1036"/>
    <cellStyle name="Обычный 2 2 14 2" xfId="3074"/>
    <cellStyle name="Обычный 2 2 14 3" xfId="2068"/>
    <cellStyle name="Обычный 2 2 15" xfId="79"/>
    <cellStyle name="Обычный 2 2 15 2" xfId="2118"/>
    <cellStyle name="Обычный 2 2 16" xfId="1062"/>
    <cellStyle name="Обычный 2 2 16 2" xfId="3100"/>
    <cellStyle name="Обычный 2 2 17" xfId="2094"/>
    <cellStyle name="Обычный 2 2 18" xfId="1112"/>
    <cellStyle name="Обычный 2 2 2" xfId="43"/>
    <cellStyle name="Обычный 2 2 3" xfId="106"/>
    <cellStyle name="Обычный 2 2 3 2" xfId="338"/>
    <cellStyle name="Обычный 2 2 3 2 2" xfId="802"/>
    <cellStyle name="Обычный 2 2 3 2 2 2" xfId="2840"/>
    <cellStyle name="Обычный 2 2 3 2 2 3" xfId="1834"/>
    <cellStyle name="Обычный 2 2 3 2 3" xfId="2376"/>
    <cellStyle name="Обычный 2 2 3 2 4" xfId="1370"/>
    <cellStyle name="Обычный 2 2 3 3" xfId="570"/>
    <cellStyle name="Обычный 2 2 3 3 2" xfId="2608"/>
    <cellStyle name="Обычный 2 2 3 3 3" xfId="1602"/>
    <cellStyle name="Обычный 2 2 3 4" xfId="1088"/>
    <cellStyle name="Обычный 2 2 3 4 2" xfId="3126"/>
    <cellStyle name="Обычный 2 2 3 5" xfId="2144"/>
    <cellStyle name="Обычный 2 2 3 6" xfId="1138"/>
    <cellStyle name="Обычный 2 2 4" xfId="132"/>
    <cellStyle name="Обычный 2 2 4 2" xfId="364"/>
    <cellStyle name="Обычный 2 2 4 2 2" xfId="828"/>
    <cellStyle name="Обычный 2 2 4 2 2 2" xfId="2866"/>
    <cellStyle name="Обычный 2 2 4 2 2 3" xfId="1860"/>
    <cellStyle name="Обычный 2 2 4 2 3" xfId="2402"/>
    <cellStyle name="Обычный 2 2 4 2 4" xfId="1396"/>
    <cellStyle name="Обычный 2 2 4 3" xfId="596"/>
    <cellStyle name="Обычный 2 2 4 3 2" xfId="2634"/>
    <cellStyle name="Обычный 2 2 4 3 3" xfId="1628"/>
    <cellStyle name="Обычный 2 2 4 4" xfId="2170"/>
    <cellStyle name="Обычный 2 2 4 5" xfId="1164"/>
    <cellStyle name="Обычный 2 2 5" xfId="158"/>
    <cellStyle name="Обычный 2 2 5 2" xfId="390"/>
    <cellStyle name="Обычный 2 2 5 2 2" xfId="854"/>
    <cellStyle name="Обычный 2 2 5 2 2 2" xfId="2892"/>
    <cellStyle name="Обычный 2 2 5 2 2 3" xfId="1886"/>
    <cellStyle name="Обычный 2 2 5 2 3" xfId="2428"/>
    <cellStyle name="Обычный 2 2 5 2 4" xfId="1422"/>
    <cellStyle name="Обычный 2 2 5 3" xfId="622"/>
    <cellStyle name="Обычный 2 2 5 3 2" xfId="2660"/>
    <cellStyle name="Обычный 2 2 5 3 3" xfId="1654"/>
    <cellStyle name="Обычный 2 2 5 4" xfId="2196"/>
    <cellStyle name="Обычный 2 2 5 5" xfId="1190"/>
    <cellStyle name="Обычный 2 2 6" xfId="184"/>
    <cellStyle name="Обычный 2 2 6 2" xfId="416"/>
    <cellStyle name="Обычный 2 2 6 2 2" xfId="880"/>
    <cellStyle name="Обычный 2 2 6 2 2 2" xfId="2918"/>
    <cellStyle name="Обычный 2 2 6 2 2 3" xfId="1912"/>
    <cellStyle name="Обычный 2 2 6 2 3" xfId="2454"/>
    <cellStyle name="Обычный 2 2 6 2 4" xfId="1448"/>
    <cellStyle name="Обычный 2 2 6 3" xfId="648"/>
    <cellStyle name="Обычный 2 2 6 3 2" xfId="2686"/>
    <cellStyle name="Обычный 2 2 6 3 3" xfId="1680"/>
    <cellStyle name="Обычный 2 2 6 4" xfId="2222"/>
    <cellStyle name="Обычный 2 2 6 5" xfId="1216"/>
    <cellStyle name="Обычный 2 2 7" xfId="210"/>
    <cellStyle name="Обычный 2 2 7 2" xfId="442"/>
    <cellStyle name="Обычный 2 2 7 2 2" xfId="906"/>
    <cellStyle name="Обычный 2 2 7 2 2 2" xfId="2944"/>
    <cellStyle name="Обычный 2 2 7 2 2 3" xfId="1938"/>
    <cellStyle name="Обычный 2 2 7 2 3" xfId="2480"/>
    <cellStyle name="Обычный 2 2 7 2 4" xfId="1474"/>
    <cellStyle name="Обычный 2 2 7 3" xfId="674"/>
    <cellStyle name="Обычный 2 2 7 3 2" xfId="2712"/>
    <cellStyle name="Обычный 2 2 7 3 3" xfId="1706"/>
    <cellStyle name="Обычный 2 2 7 4" xfId="2248"/>
    <cellStyle name="Обычный 2 2 7 5" xfId="1242"/>
    <cellStyle name="Обычный 2 2 8" xfId="236"/>
    <cellStyle name="Обычный 2 2 8 2" xfId="468"/>
    <cellStyle name="Обычный 2 2 8 2 2" xfId="932"/>
    <cellStyle name="Обычный 2 2 8 2 2 2" xfId="2970"/>
    <cellStyle name="Обычный 2 2 8 2 2 3" xfId="1964"/>
    <cellStyle name="Обычный 2 2 8 2 3" xfId="2506"/>
    <cellStyle name="Обычный 2 2 8 2 4" xfId="1500"/>
    <cellStyle name="Обычный 2 2 8 3" xfId="700"/>
    <cellStyle name="Обычный 2 2 8 3 2" xfId="2738"/>
    <cellStyle name="Обычный 2 2 8 3 3" xfId="1732"/>
    <cellStyle name="Обычный 2 2 8 4" xfId="2274"/>
    <cellStyle name="Обычный 2 2 8 5" xfId="1268"/>
    <cellStyle name="Обычный 2 2 9" xfId="262"/>
    <cellStyle name="Обычный 2 2 9 2" xfId="494"/>
    <cellStyle name="Обычный 2 2 9 2 2" xfId="958"/>
    <cellStyle name="Обычный 2 2 9 2 2 2" xfId="2996"/>
    <cellStyle name="Обычный 2 2 9 2 2 3" xfId="1990"/>
    <cellStyle name="Обычный 2 2 9 2 3" xfId="2532"/>
    <cellStyle name="Обычный 2 2 9 2 4" xfId="1526"/>
    <cellStyle name="Обычный 2 2 9 3" xfId="726"/>
    <cellStyle name="Обычный 2 2 9 3 2" xfId="2764"/>
    <cellStyle name="Обычный 2 2 9 3 3" xfId="1758"/>
    <cellStyle name="Обычный 2 2 9 4" xfId="2300"/>
    <cellStyle name="Обычный 2 2 9 5" xfId="1294"/>
    <cellStyle name="Обычный 2 20" xfId="258"/>
    <cellStyle name="Обычный 2 20 2" xfId="490"/>
    <cellStyle name="Обычный 2 20 2 2" xfId="954"/>
    <cellStyle name="Обычный 2 20 2 2 2" xfId="2992"/>
    <cellStyle name="Обычный 2 20 2 2 3" xfId="1986"/>
    <cellStyle name="Обычный 2 20 2 3" xfId="2528"/>
    <cellStyle name="Обычный 2 20 2 4" xfId="1522"/>
    <cellStyle name="Обычный 2 20 3" xfId="722"/>
    <cellStyle name="Обычный 2 20 3 2" xfId="2760"/>
    <cellStyle name="Обычный 2 20 3 3" xfId="1754"/>
    <cellStyle name="Обычный 2 20 4" xfId="2296"/>
    <cellStyle name="Обычный 2 20 5" xfId="1290"/>
    <cellStyle name="Обычный 2 21" xfId="284"/>
    <cellStyle name="Обычный 2 21 2" xfId="516"/>
    <cellStyle name="Обычный 2 21 2 2" xfId="980"/>
    <cellStyle name="Обычный 2 21 2 2 2" xfId="3018"/>
    <cellStyle name="Обычный 2 21 2 2 3" xfId="2012"/>
    <cellStyle name="Обычный 2 21 2 3" xfId="2554"/>
    <cellStyle name="Обычный 2 21 2 4" xfId="1548"/>
    <cellStyle name="Обычный 2 21 3" xfId="748"/>
    <cellStyle name="Обычный 2 21 3 2" xfId="2786"/>
    <cellStyle name="Обычный 2 21 3 3" xfId="1780"/>
    <cellStyle name="Обычный 2 21 4" xfId="2322"/>
    <cellStyle name="Обычный 2 21 5" xfId="1316"/>
    <cellStyle name="Обычный 2 22" xfId="310"/>
    <cellStyle name="Обычный 2 22 2" xfId="774"/>
    <cellStyle name="Обычный 2 22 2 2" xfId="2812"/>
    <cellStyle name="Обычный 2 22 2 3" xfId="1806"/>
    <cellStyle name="Обычный 2 22 3" xfId="2348"/>
    <cellStyle name="Обычный 2 22 4" xfId="1342"/>
    <cellStyle name="Обычный 2 23" xfId="542"/>
    <cellStyle name="Обычный 2 23 2" xfId="2580"/>
    <cellStyle name="Обычный 2 23 3" xfId="1574"/>
    <cellStyle name="Обычный 2 24" xfId="1006"/>
    <cellStyle name="Обычный 2 24 2" xfId="3044"/>
    <cellStyle name="Обычный 2 24 3" xfId="2038"/>
    <cellStyle name="Обычный 2 25" xfId="1032"/>
    <cellStyle name="Обычный 2 25 2" xfId="3070"/>
    <cellStyle name="Обычный 2 25 3" xfId="2064"/>
    <cellStyle name="Обычный 2 26" xfId="77"/>
    <cellStyle name="Обычный 2 26 2" xfId="2116"/>
    <cellStyle name="Обычный 2 27" xfId="1058"/>
    <cellStyle name="Обычный 2 27 2" xfId="3096"/>
    <cellStyle name="Обычный 2 28" xfId="2090"/>
    <cellStyle name="Обычный 2 29" xfId="1110"/>
    <cellStyle name="Обычный 2 3" xfId="57"/>
    <cellStyle name="Обычный 2 3 10" xfId="314"/>
    <cellStyle name="Обычный 2 3 10 2" xfId="778"/>
    <cellStyle name="Обычный 2 3 10 2 2" xfId="2816"/>
    <cellStyle name="Обычный 2 3 10 2 3" xfId="1810"/>
    <cellStyle name="Обычный 2 3 10 3" xfId="2352"/>
    <cellStyle name="Обычный 2 3 10 4" xfId="1346"/>
    <cellStyle name="Обычный 2 3 11" xfId="546"/>
    <cellStyle name="Обычный 2 3 11 2" xfId="2584"/>
    <cellStyle name="Обычный 2 3 11 3" xfId="1578"/>
    <cellStyle name="Обычный 2 3 12" xfId="1012"/>
    <cellStyle name="Обычный 2 3 12 2" xfId="3050"/>
    <cellStyle name="Обычный 2 3 12 3" xfId="2044"/>
    <cellStyle name="Обычный 2 3 13" xfId="1038"/>
    <cellStyle name="Обычный 2 3 13 2" xfId="3076"/>
    <cellStyle name="Обычный 2 3 13 3" xfId="2070"/>
    <cellStyle name="Обычный 2 3 14" xfId="81"/>
    <cellStyle name="Обычный 2 3 14 2" xfId="2120"/>
    <cellStyle name="Обычный 2 3 15" xfId="1064"/>
    <cellStyle name="Обычный 2 3 15 2" xfId="3102"/>
    <cellStyle name="Обычный 2 3 16" xfId="2096"/>
    <cellStyle name="Обычный 2 3 17" xfId="1114"/>
    <cellStyle name="Обычный 2 3 2" xfId="108"/>
    <cellStyle name="Обычный 2 3 2 2" xfId="340"/>
    <cellStyle name="Обычный 2 3 2 2 2" xfId="804"/>
    <cellStyle name="Обычный 2 3 2 2 2 2" xfId="2842"/>
    <cellStyle name="Обычный 2 3 2 2 2 3" xfId="1836"/>
    <cellStyle name="Обычный 2 3 2 2 3" xfId="2378"/>
    <cellStyle name="Обычный 2 3 2 2 4" xfId="1372"/>
    <cellStyle name="Обычный 2 3 2 3" xfId="572"/>
    <cellStyle name="Обычный 2 3 2 3 2" xfId="2610"/>
    <cellStyle name="Обычный 2 3 2 3 3" xfId="1604"/>
    <cellStyle name="Обычный 2 3 2 4" xfId="1090"/>
    <cellStyle name="Обычный 2 3 2 4 2" xfId="3128"/>
    <cellStyle name="Обычный 2 3 2 5" xfId="2146"/>
    <cellStyle name="Обычный 2 3 2 6" xfId="1140"/>
    <cellStyle name="Обычный 2 3 3" xfId="134"/>
    <cellStyle name="Обычный 2 3 3 2" xfId="366"/>
    <cellStyle name="Обычный 2 3 3 2 2" xfId="830"/>
    <cellStyle name="Обычный 2 3 3 2 2 2" xfId="2868"/>
    <cellStyle name="Обычный 2 3 3 2 2 3" xfId="1862"/>
    <cellStyle name="Обычный 2 3 3 2 3" xfId="2404"/>
    <cellStyle name="Обычный 2 3 3 2 4" xfId="1398"/>
    <cellStyle name="Обычный 2 3 3 3" xfId="598"/>
    <cellStyle name="Обычный 2 3 3 3 2" xfId="2636"/>
    <cellStyle name="Обычный 2 3 3 3 3" xfId="1630"/>
    <cellStyle name="Обычный 2 3 3 4" xfId="2172"/>
    <cellStyle name="Обычный 2 3 3 5" xfId="1166"/>
    <cellStyle name="Обычный 2 3 4" xfId="160"/>
    <cellStyle name="Обычный 2 3 4 2" xfId="392"/>
    <cellStyle name="Обычный 2 3 4 2 2" xfId="856"/>
    <cellStyle name="Обычный 2 3 4 2 2 2" xfId="2894"/>
    <cellStyle name="Обычный 2 3 4 2 2 3" xfId="1888"/>
    <cellStyle name="Обычный 2 3 4 2 3" xfId="2430"/>
    <cellStyle name="Обычный 2 3 4 2 4" xfId="1424"/>
    <cellStyle name="Обычный 2 3 4 3" xfId="624"/>
    <cellStyle name="Обычный 2 3 4 3 2" xfId="2662"/>
    <cellStyle name="Обычный 2 3 4 3 3" xfId="1656"/>
    <cellStyle name="Обычный 2 3 4 4" xfId="2198"/>
    <cellStyle name="Обычный 2 3 4 5" xfId="1192"/>
    <cellStyle name="Обычный 2 3 5" xfId="186"/>
    <cellStyle name="Обычный 2 3 5 2" xfId="418"/>
    <cellStyle name="Обычный 2 3 5 2 2" xfId="882"/>
    <cellStyle name="Обычный 2 3 5 2 2 2" xfId="2920"/>
    <cellStyle name="Обычный 2 3 5 2 2 3" xfId="1914"/>
    <cellStyle name="Обычный 2 3 5 2 3" xfId="2456"/>
    <cellStyle name="Обычный 2 3 5 2 4" xfId="1450"/>
    <cellStyle name="Обычный 2 3 5 3" xfId="650"/>
    <cellStyle name="Обычный 2 3 5 3 2" xfId="2688"/>
    <cellStyle name="Обычный 2 3 5 3 3" xfId="1682"/>
    <cellStyle name="Обычный 2 3 5 4" xfId="2224"/>
    <cellStyle name="Обычный 2 3 5 5" xfId="1218"/>
    <cellStyle name="Обычный 2 3 6" xfId="212"/>
    <cellStyle name="Обычный 2 3 6 2" xfId="444"/>
    <cellStyle name="Обычный 2 3 6 2 2" xfId="908"/>
    <cellStyle name="Обычный 2 3 6 2 2 2" xfId="2946"/>
    <cellStyle name="Обычный 2 3 6 2 2 3" xfId="1940"/>
    <cellStyle name="Обычный 2 3 6 2 3" xfId="2482"/>
    <cellStyle name="Обычный 2 3 6 2 4" xfId="1476"/>
    <cellStyle name="Обычный 2 3 6 3" xfId="676"/>
    <cellStyle name="Обычный 2 3 6 3 2" xfId="2714"/>
    <cellStyle name="Обычный 2 3 6 3 3" xfId="1708"/>
    <cellStyle name="Обычный 2 3 6 4" xfId="2250"/>
    <cellStyle name="Обычный 2 3 6 5" xfId="1244"/>
    <cellStyle name="Обычный 2 3 7" xfId="238"/>
    <cellStyle name="Обычный 2 3 7 2" xfId="470"/>
    <cellStyle name="Обычный 2 3 7 2 2" xfId="934"/>
    <cellStyle name="Обычный 2 3 7 2 2 2" xfId="2972"/>
    <cellStyle name="Обычный 2 3 7 2 2 3" xfId="1966"/>
    <cellStyle name="Обычный 2 3 7 2 3" xfId="2508"/>
    <cellStyle name="Обычный 2 3 7 2 4" xfId="1502"/>
    <cellStyle name="Обычный 2 3 7 3" xfId="702"/>
    <cellStyle name="Обычный 2 3 7 3 2" xfId="2740"/>
    <cellStyle name="Обычный 2 3 7 3 3" xfId="1734"/>
    <cellStyle name="Обычный 2 3 7 4" xfId="2276"/>
    <cellStyle name="Обычный 2 3 7 5" xfId="1270"/>
    <cellStyle name="Обычный 2 3 8" xfId="264"/>
    <cellStyle name="Обычный 2 3 8 2" xfId="496"/>
    <cellStyle name="Обычный 2 3 8 2 2" xfId="960"/>
    <cellStyle name="Обычный 2 3 8 2 2 2" xfId="2998"/>
    <cellStyle name="Обычный 2 3 8 2 2 3" xfId="1992"/>
    <cellStyle name="Обычный 2 3 8 2 3" xfId="2534"/>
    <cellStyle name="Обычный 2 3 8 2 4" xfId="1528"/>
    <cellStyle name="Обычный 2 3 8 3" xfId="728"/>
    <cellStyle name="Обычный 2 3 8 3 2" xfId="2766"/>
    <cellStyle name="Обычный 2 3 8 3 3" xfId="1760"/>
    <cellStyle name="Обычный 2 3 8 4" xfId="2302"/>
    <cellStyle name="Обычный 2 3 8 5" xfId="1296"/>
    <cellStyle name="Обычный 2 3 9" xfId="290"/>
    <cellStyle name="Обычный 2 3 9 2" xfId="522"/>
    <cellStyle name="Обычный 2 3 9 2 2" xfId="986"/>
    <cellStyle name="Обычный 2 3 9 2 2 2" xfId="3024"/>
    <cellStyle name="Обычный 2 3 9 2 2 3" xfId="2018"/>
    <cellStyle name="Обычный 2 3 9 2 3" xfId="2560"/>
    <cellStyle name="Обычный 2 3 9 2 4" xfId="1554"/>
    <cellStyle name="Обычный 2 3 9 3" xfId="754"/>
    <cellStyle name="Обычный 2 3 9 3 2" xfId="2792"/>
    <cellStyle name="Обычный 2 3 9 3 3" xfId="1786"/>
    <cellStyle name="Обычный 2 3 9 4" xfId="2328"/>
    <cellStyle name="Обычный 2 3 9 5" xfId="1322"/>
    <cellStyle name="Обычный 2 4" xfId="59"/>
    <cellStyle name="Обычный 2 4 10" xfId="316"/>
    <cellStyle name="Обычный 2 4 10 2" xfId="780"/>
    <cellStyle name="Обычный 2 4 10 2 2" xfId="2818"/>
    <cellStyle name="Обычный 2 4 10 2 3" xfId="1812"/>
    <cellStyle name="Обычный 2 4 10 3" xfId="2354"/>
    <cellStyle name="Обычный 2 4 10 4" xfId="1348"/>
    <cellStyle name="Обычный 2 4 11" xfId="548"/>
    <cellStyle name="Обычный 2 4 11 2" xfId="2586"/>
    <cellStyle name="Обычный 2 4 11 3" xfId="1580"/>
    <cellStyle name="Обычный 2 4 12" xfId="1014"/>
    <cellStyle name="Обычный 2 4 12 2" xfId="3052"/>
    <cellStyle name="Обычный 2 4 12 3" xfId="2046"/>
    <cellStyle name="Обычный 2 4 13" xfId="1040"/>
    <cellStyle name="Обычный 2 4 13 2" xfId="3078"/>
    <cellStyle name="Обычный 2 4 13 3" xfId="2072"/>
    <cellStyle name="Обычный 2 4 14" xfId="83"/>
    <cellStyle name="Обычный 2 4 14 2" xfId="2122"/>
    <cellStyle name="Обычный 2 4 15" xfId="1066"/>
    <cellStyle name="Обычный 2 4 15 2" xfId="3104"/>
    <cellStyle name="Обычный 2 4 16" xfId="2098"/>
    <cellStyle name="Обычный 2 4 17" xfId="1116"/>
    <cellStyle name="Обычный 2 4 2" xfId="110"/>
    <cellStyle name="Обычный 2 4 2 2" xfId="342"/>
    <cellStyle name="Обычный 2 4 2 2 2" xfId="806"/>
    <cellStyle name="Обычный 2 4 2 2 2 2" xfId="2844"/>
    <cellStyle name="Обычный 2 4 2 2 2 3" xfId="1838"/>
    <cellStyle name="Обычный 2 4 2 2 3" xfId="2380"/>
    <cellStyle name="Обычный 2 4 2 2 4" xfId="1374"/>
    <cellStyle name="Обычный 2 4 2 3" xfId="574"/>
    <cellStyle name="Обычный 2 4 2 3 2" xfId="2612"/>
    <cellStyle name="Обычный 2 4 2 3 3" xfId="1606"/>
    <cellStyle name="Обычный 2 4 2 4" xfId="1092"/>
    <cellStyle name="Обычный 2 4 2 4 2" xfId="3130"/>
    <cellStyle name="Обычный 2 4 2 5" xfId="2148"/>
    <cellStyle name="Обычный 2 4 2 6" xfId="1142"/>
    <cellStyle name="Обычный 2 4 3" xfId="136"/>
    <cellStyle name="Обычный 2 4 3 2" xfId="368"/>
    <cellStyle name="Обычный 2 4 3 2 2" xfId="832"/>
    <cellStyle name="Обычный 2 4 3 2 2 2" xfId="2870"/>
    <cellStyle name="Обычный 2 4 3 2 2 3" xfId="1864"/>
    <cellStyle name="Обычный 2 4 3 2 3" xfId="2406"/>
    <cellStyle name="Обычный 2 4 3 2 4" xfId="1400"/>
    <cellStyle name="Обычный 2 4 3 3" xfId="600"/>
    <cellStyle name="Обычный 2 4 3 3 2" xfId="2638"/>
    <cellStyle name="Обычный 2 4 3 3 3" xfId="1632"/>
    <cellStyle name="Обычный 2 4 3 4" xfId="2174"/>
    <cellStyle name="Обычный 2 4 3 5" xfId="1168"/>
    <cellStyle name="Обычный 2 4 4" xfId="162"/>
    <cellStyle name="Обычный 2 4 4 2" xfId="394"/>
    <cellStyle name="Обычный 2 4 4 2 2" xfId="858"/>
    <cellStyle name="Обычный 2 4 4 2 2 2" xfId="2896"/>
    <cellStyle name="Обычный 2 4 4 2 2 3" xfId="1890"/>
    <cellStyle name="Обычный 2 4 4 2 3" xfId="2432"/>
    <cellStyle name="Обычный 2 4 4 2 4" xfId="1426"/>
    <cellStyle name="Обычный 2 4 4 3" xfId="626"/>
    <cellStyle name="Обычный 2 4 4 3 2" xfId="2664"/>
    <cellStyle name="Обычный 2 4 4 3 3" xfId="1658"/>
    <cellStyle name="Обычный 2 4 4 4" xfId="2200"/>
    <cellStyle name="Обычный 2 4 4 5" xfId="1194"/>
    <cellStyle name="Обычный 2 4 5" xfId="188"/>
    <cellStyle name="Обычный 2 4 5 2" xfId="420"/>
    <cellStyle name="Обычный 2 4 5 2 2" xfId="884"/>
    <cellStyle name="Обычный 2 4 5 2 2 2" xfId="2922"/>
    <cellStyle name="Обычный 2 4 5 2 2 3" xfId="1916"/>
    <cellStyle name="Обычный 2 4 5 2 3" xfId="2458"/>
    <cellStyle name="Обычный 2 4 5 2 4" xfId="1452"/>
    <cellStyle name="Обычный 2 4 5 3" xfId="652"/>
    <cellStyle name="Обычный 2 4 5 3 2" xfId="2690"/>
    <cellStyle name="Обычный 2 4 5 3 3" xfId="1684"/>
    <cellStyle name="Обычный 2 4 5 4" xfId="2226"/>
    <cellStyle name="Обычный 2 4 5 5" xfId="1220"/>
    <cellStyle name="Обычный 2 4 6" xfId="214"/>
    <cellStyle name="Обычный 2 4 6 2" xfId="446"/>
    <cellStyle name="Обычный 2 4 6 2 2" xfId="910"/>
    <cellStyle name="Обычный 2 4 6 2 2 2" xfId="2948"/>
    <cellStyle name="Обычный 2 4 6 2 2 3" xfId="1942"/>
    <cellStyle name="Обычный 2 4 6 2 3" xfId="2484"/>
    <cellStyle name="Обычный 2 4 6 2 4" xfId="1478"/>
    <cellStyle name="Обычный 2 4 6 3" xfId="678"/>
    <cellStyle name="Обычный 2 4 6 3 2" xfId="2716"/>
    <cellStyle name="Обычный 2 4 6 3 3" xfId="1710"/>
    <cellStyle name="Обычный 2 4 6 4" xfId="2252"/>
    <cellStyle name="Обычный 2 4 6 5" xfId="1246"/>
    <cellStyle name="Обычный 2 4 7" xfId="240"/>
    <cellStyle name="Обычный 2 4 7 2" xfId="472"/>
    <cellStyle name="Обычный 2 4 7 2 2" xfId="936"/>
    <cellStyle name="Обычный 2 4 7 2 2 2" xfId="2974"/>
    <cellStyle name="Обычный 2 4 7 2 2 3" xfId="1968"/>
    <cellStyle name="Обычный 2 4 7 2 3" xfId="2510"/>
    <cellStyle name="Обычный 2 4 7 2 4" xfId="1504"/>
    <cellStyle name="Обычный 2 4 7 3" xfId="704"/>
    <cellStyle name="Обычный 2 4 7 3 2" xfId="2742"/>
    <cellStyle name="Обычный 2 4 7 3 3" xfId="1736"/>
    <cellStyle name="Обычный 2 4 7 4" xfId="2278"/>
    <cellStyle name="Обычный 2 4 7 5" xfId="1272"/>
    <cellStyle name="Обычный 2 4 8" xfId="266"/>
    <cellStyle name="Обычный 2 4 8 2" xfId="498"/>
    <cellStyle name="Обычный 2 4 8 2 2" xfId="962"/>
    <cellStyle name="Обычный 2 4 8 2 2 2" xfId="3000"/>
    <cellStyle name="Обычный 2 4 8 2 2 3" xfId="1994"/>
    <cellStyle name="Обычный 2 4 8 2 3" xfId="2536"/>
    <cellStyle name="Обычный 2 4 8 2 4" xfId="1530"/>
    <cellStyle name="Обычный 2 4 8 3" xfId="730"/>
    <cellStyle name="Обычный 2 4 8 3 2" xfId="2768"/>
    <cellStyle name="Обычный 2 4 8 3 3" xfId="1762"/>
    <cellStyle name="Обычный 2 4 8 4" xfId="2304"/>
    <cellStyle name="Обычный 2 4 8 5" xfId="1298"/>
    <cellStyle name="Обычный 2 4 9" xfId="292"/>
    <cellStyle name="Обычный 2 4 9 2" xfId="524"/>
    <cellStyle name="Обычный 2 4 9 2 2" xfId="988"/>
    <cellStyle name="Обычный 2 4 9 2 2 2" xfId="3026"/>
    <cellStyle name="Обычный 2 4 9 2 2 3" xfId="2020"/>
    <cellStyle name="Обычный 2 4 9 2 3" xfId="2562"/>
    <cellStyle name="Обычный 2 4 9 2 4" xfId="1556"/>
    <cellStyle name="Обычный 2 4 9 3" xfId="756"/>
    <cellStyle name="Обычный 2 4 9 3 2" xfId="2794"/>
    <cellStyle name="Обычный 2 4 9 3 3" xfId="1788"/>
    <cellStyle name="Обычный 2 4 9 4" xfId="2330"/>
    <cellStyle name="Обычный 2 4 9 5" xfId="1324"/>
    <cellStyle name="Обычный 2 5" xfId="61"/>
    <cellStyle name="Обычный 2 5 10" xfId="318"/>
    <cellStyle name="Обычный 2 5 10 2" xfId="782"/>
    <cellStyle name="Обычный 2 5 10 2 2" xfId="2820"/>
    <cellStyle name="Обычный 2 5 10 2 3" xfId="1814"/>
    <cellStyle name="Обычный 2 5 10 3" xfId="2356"/>
    <cellStyle name="Обычный 2 5 10 4" xfId="1350"/>
    <cellStyle name="Обычный 2 5 11" xfId="550"/>
    <cellStyle name="Обычный 2 5 11 2" xfId="2588"/>
    <cellStyle name="Обычный 2 5 11 3" xfId="1582"/>
    <cellStyle name="Обычный 2 5 12" xfId="1016"/>
    <cellStyle name="Обычный 2 5 12 2" xfId="3054"/>
    <cellStyle name="Обычный 2 5 12 3" xfId="2048"/>
    <cellStyle name="Обычный 2 5 13" xfId="1042"/>
    <cellStyle name="Обычный 2 5 13 2" xfId="3080"/>
    <cellStyle name="Обычный 2 5 13 3" xfId="2074"/>
    <cellStyle name="Обычный 2 5 14" xfId="85"/>
    <cellStyle name="Обычный 2 5 14 2" xfId="2124"/>
    <cellStyle name="Обычный 2 5 15" xfId="1068"/>
    <cellStyle name="Обычный 2 5 15 2" xfId="3106"/>
    <cellStyle name="Обычный 2 5 16" xfId="2100"/>
    <cellStyle name="Обычный 2 5 17" xfId="1118"/>
    <cellStyle name="Обычный 2 5 2" xfId="112"/>
    <cellStyle name="Обычный 2 5 2 2" xfId="344"/>
    <cellStyle name="Обычный 2 5 2 2 2" xfId="808"/>
    <cellStyle name="Обычный 2 5 2 2 2 2" xfId="2846"/>
    <cellStyle name="Обычный 2 5 2 2 2 3" xfId="1840"/>
    <cellStyle name="Обычный 2 5 2 2 3" xfId="2382"/>
    <cellStyle name="Обычный 2 5 2 2 4" xfId="1376"/>
    <cellStyle name="Обычный 2 5 2 3" xfId="576"/>
    <cellStyle name="Обычный 2 5 2 3 2" xfId="2614"/>
    <cellStyle name="Обычный 2 5 2 3 3" xfId="1608"/>
    <cellStyle name="Обычный 2 5 2 4" xfId="1094"/>
    <cellStyle name="Обычный 2 5 2 4 2" xfId="3132"/>
    <cellStyle name="Обычный 2 5 2 5" xfId="2150"/>
    <cellStyle name="Обычный 2 5 2 6" xfId="1144"/>
    <cellStyle name="Обычный 2 5 3" xfId="138"/>
    <cellStyle name="Обычный 2 5 3 2" xfId="370"/>
    <cellStyle name="Обычный 2 5 3 2 2" xfId="834"/>
    <cellStyle name="Обычный 2 5 3 2 2 2" xfId="2872"/>
    <cellStyle name="Обычный 2 5 3 2 2 3" xfId="1866"/>
    <cellStyle name="Обычный 2 5 3 2 3" xfId="2408"/>
    <cellStyle name="Обычный 2 5 3 2 4" xfId="1402"/>
    <cellStyle name="Обычный 2 5 3 3" xfId="602"/>
    <cellStyle name="Обычный 2 5 3 3 2" xfId="2640"/>
    <cellStyle name="Обычный 2 5 3 3 3" xfId="1634"/>
    <cellStyle name="Обычный 2 5 3 4" xfId="2176"/>
    <cellStyle name="Обычный 2 5 3 5" xfId="1170"/>
    <cellStyle name="Обычный 2 5 4" xfId="164"/>
    <cellStyle name="Обычный 2 5 4 2" xfId="396"/>
    <cellStyle name="Обычный 2 5 4 2 2" xfId="860"/>
    <cellStyle name="Обычный 2 5 4 2 2 2" xfId="2898"/>
    <cellStyle name="Обычный 2 5 4 2 2 3" xfId="1892"/>
    <cellStyle name="Обычный 2 5 4 2 3" xfId="2434"/>
    <cellStyle name="Обычный 2 5 4 2 4" xfId="1428"/>
    <cellStyle name="Обычный 2 5 4 3" xfId="628"/>
    <cellStyle name="Обычный 2 5 4 3 2" xfId="2666"/>
    <cellStyle name="Обычный 2 5 4 3 3" xfId="1660"/>
    <cellStyle name="Обычный 2 5 4 4" xfId="2202"/>
    <cellStyle name="Обычный 2 5 4 5" xfId="1196"/>
    <cellStyle name="Обычный 2 5 5" xfId="190"/>
    <cellStyle name="Обычный 2 5 5 2" xfId="422"/>
    <cellStyle name="Обычный 2 5 5 2 2" xfId="886"/>
    <cellStyle name="Обычный 2 5 5 2 2 2" xfId="2924"/>
    <cellStyle name="Обычный 2 5 5 2 2 3" xfId="1918"/>
    <cellStyle name="Обычный 2 5 5 2 3" xfId="2460"/>
    <cellStyle name="Обычный 2 5 5 2 4" xfId="1454"/>
    <cellStyle name="Обычный 2 5 5 3" xfId="654"/>
    <cellStyle name="Обычный 2 5 5 3 2" xfId="2692"/>
    <cellStyle name="Обычный 2 5 5 3 3" xfId="1686"/>
    <cellStyle name="Обычный 2 5 5 4" xfId="2228"/>
    <cellStyle name="Обычный 2 5 5 5" xfId="1222"/>
    <cellStyle name="Обычный 2 5 6" xfId="216"/>
    <cellStyle name="Обычный 2 5 6 2" xfId="448"/>
    <cellStyle name="Обычный 2 5 6 2 2" xfId="912"/>
    <cellStyle name="Обычный 2 5 6 2 2 2" xfId="2950"/>
    <cellStyle name="Обычный 2 5 6 2 2 3" xfId="1944"/>
    <cellStyle name="Обычный 2 5 6 2 3" xfId="2486"/>
    <cellStyle name="Обычный 2 5 6 2 4" xfId="1480"/>
    <cellStyle name="Обычный 2 5 6 3" xfId="680"/>
    <cellStyle name="Обычный 2 5 6 3 2" xfId="2718"/>
    <cellStyle name="Обычный 2 5 6 3 3" xfId="1712"/>
    <cellStyle name="Обычный 2 5 6 4" xfId="2254"/>
    <cellStyle name="Обычный 2 5 6 5" xfId="1248"/>
    <cellStyle name="Обычный 2 5 7" xfId="242"/>
    <cellStyle name="Обычный 2 5 7 2" xfId="474"/>
    <cellStyle name="Обычный 2 5 7 2 2" xfId="938"/>
    <cellStyle name="Обычный 2 5 7 2 2 2" xfId="2976"/>
    <cellStyle name="Обычный 2 5 7 2 2 3" xfId="1970"/>
    <cellStyle name="Обычный 2 5 7 2 3" xfId="2512"/>
    <cellStyle name="Обычный 2 5 7 2 4" xfId="1506"/>
    <cellStyle name="Обычный 2 5 7 3" xfId="706"/>
    <cellStyle name="Обычный 2 5 7 3 2" xfId="2744"/>
    <cellStyle name="Обычный 2 5 7 3 3" xfId="1738"/>
    <cellStyle name="Обычный 2 5 7 4" xfId="2280"/>
    <cellStyle name="Обычный 2 5 7 5" xfId="1274"/>
    <cellStyle name="Обычный 2 5 8" xfId="268"/>
    <cellStyle name="Обычный 2 5 8 2" xfId="500"/>
    <cellStyle name="Обычный 2 5 8 2 2" xfId="964"/>
    <cellStyle name="Обычный 2 5 8 2 2 2" xfId="3002"/>
    <cellStyle name="Обычный 2 5 8 2 2 3" xfId="1996"/>
    <cellStyle name="Обычный 2 5 8 2 3" xfId="2538"/>
    <cellStyle name="Обычный 2 5 8 2 4" xfId="1532"/>
    <cellStyle name="Обычный 2 5 8 3" xfId="732"/>
    <cellStyle name="Обычный 2 5 8 3 2" xfId="2770"/>
    <cellStyle name="Обычный 2 5 8 3 3" xfId="1764"/>
    <cellStyle name="Обычный 2 5 8 4" xfId="2306"/>
    <cellStyle name="Обычный 2 5 8 5" xfId="1300"/>
    <cellStyle name="Обычный 2 5 9" xfId="294"/>
    <cellStyle name="Обычный 2 5 9 2" xfId="526"/>
    <cellStyle name="Обычный 2 5 9 2 2" xfId="990"/>
    <cellStyle name="Обычный 2 5 9 2 2 2" xfId="3028"/>
    <cellStyle name="Обычный 2 5 9 2 2 3" xfId="2022"/>
    <cellStyle name="Обычный 2 5 9 2 3" xfId="2564"/>
    <cellStyle name="Обычный 2 5 9 2 4" xfId="1558"/>
    <cellStyle name="Обычный 2 5 9 3" xfId="758"/>
    <cellStyle name="Обычный 2 5 9 3 2" xfId="2796"/>
    <cellStyle name="Обычный 2 5 9 3 3" xfId="1790"/>
    <cellStyle name="Обычный 2 5 9 4" xfId="2332"/>
    <cellStyle name="Обычный 2 5 9 5" xfId="1326"/>
    <cellStyle name="Обычный 2 6" xfId="63"/>
    <cellStyle name="Обычный 2 6 10" xfId="320"/>
    <cellStyle name="Обычный 2 6 10 2" xfId="784"/>
    <cellStyle name="Обычный 2 6 10 2 2" xfId="2822"/>
    <cellStyle name="Обычный 2 6 10 2 3" xfId="1816"/>
    <cellStyle name="Обычный 2 6 10 3" xfId="2358"/>
    <cellStyle name="Обычный 2 6 10 4" xfId="1352"/>
    <cellStyle name="Обычный 2 6 11" xfId="552"/>
    <cellStyle name="Обычный 2 6 11 2" xfId="2590"/>
    <cellStyle name="Обычный 2 6 11 3" xfId="1584"/>
    <cellStyle name="Обычный 2 6 12" xfId="1018"/>
    <cellStyle name="Обычный 2 6 12 2" xfId="3056"/>
    <cellStyle name="Обычный 2 6 12 3" xfId="2050"/>
    <cellStyle name="Обычный 2 6 13" xfId="1044"/>
    <cellStyle name="Обычный 2 6 13 2" xfId="3082"/>
    <cellStyle name="Обычный 2 6 13 3" xfId="2076"/>
    <cellStyle name="Обычный 2 6 14" xfId="87"/>
    <cellStyle name="Обычный 2 6 14 2" xfId="2126"/>
    <cellStyle name="Обычный 2 6 15" xfId="1070"/>
    <cellStyle name="Обычный 2 6 15 2" xfId="3108"/>
    <cellStyle name="Обычный 2 6 16" xfId="2102"/>
    <cellStyle name="Обычный 2 6 17" xfId="1120"/>
    <cellStyle name="Обычный 2 6 2" xfId="114"/>
    <cellStyle name="Обычный 2 6 2 2" xfId="346"/>
    <cellStyle name="Обычный 2 6 2 2 2" xfId="810"/>
    <cellStyle name="Обычный 2 6 2 2 2 2" xfId="2848"/>
    <cellStyle name="Обычный 2 6 2 2 2 3" xfId="1842"/>
    <cellStyle name="Обычный 2 6 2 2 3" xfId="2384"/>
    <cellStyle name="Обычный 2 6 2 2 4" xfId="1378"/>
    <cellStyle name="Обычный 2 6 2 3" xfId="578"/>
    <cellStyle name="Обычный 2 6 2 3 2" xfId="2616"/>
    <cellStyle name="Обычный 2 6 2 3 3" xfId="1610"/>
    <cellStyle name="Обычный 2 6 2 4" xfId="1096"/>
    <cellStyle name="Обычный 2 6 2 4 2" xfId="3134"/>
    <cellStyle name="Обычный 2 6 2 5" xfId="2152"/>
    <cellStyle name="Обычный 2 6 2 6" xfId="1146"/>
    <cellStyle name="Обычный 2 6 3" xfId="140"/>
    <cellStyle name="Обычный 2 6 3 2" xfId="372"/>
    <cellStyle name="Обычный 2 6 3 2 2" xfId="836"/>
    <cellStyle name="Обычный 2 6 3 2 2 2" xfId="2874"/>
    <cellStyle name="Обычный 2 6 3 2 2 3" xfId="1868"/>
    <cellStyle name="Обычный 2 6 3 2 3" xfId="2410"/>
    <cellStyle name="Обычный 2 6 3 2 4" xfId="1404"/>
    <cellStyle name="Обычный 2 6 3 3" xfId="604"/>
    <cellStyle name="Обычный 2 6 3 3 2" xfId="2642"/>
    <cellStyle name="Обычный 2 6 3 3 3" xfId="1636"/>
    <cellStyle name="Обычный 2 6 3 4" xfId="2178"/>
    <cellStyle name="Обычный 2 6 3 5" xfId="1172"/>
    <cellStyle name="Обычный 2 6 4" xfId="166"/>
    <cellStyle name="Обычный 2 6 4 2" xfId="398"/>
    <cellStyle name="Обычный 2 6 4 2 2" xfId="862"/>
    <cellStyle name="Обычный 2 6 4 2 2 2" xfId="2900"/>
    <cellStyle name="Обычный 2 6 4 2 2 3" xfId="1894"/>
    <cellStyle name="Обычный 2 6 4 2 3" xfId="2436"/>
    <cellStyle name="Обычный 2 6 4 2 4" xfId="1430"/>
    <cellStyle name="Обычный 2 6 4 3" xfId="630"/>
    <cellStyle name="Обычный 2 6 4 3 2" xfId="2668"/>
    <cellStyle name="Обычный 2 6 4 3 3" xfId="1662"/>
    <cellStyle name="Обычный 2 6 4 4" xfId="2204"/>
    <cellStyle name="Обычный 2 6 4 5" xfId="1198"/>
    <cellStyle name="Обычный 2 6 5" xfId="192"/>
    <cellStyle name="Обычный 2 6 5 2" xfId="424"/>
    <cellStyle name="Обычный 2 6 5 2 2" xfId="888"/>
    <cellStyle name="Обычный 2 6 5 2 2 2" xfId="2926"/>
    <cellStyle name="Обычный 2 6 5 2 2 3" xfId="1920"/>
    <cellStyle name="Обычный 2 6 5 2 3" xfId="2462"/>
    <cellStyle name="Обычный 2 6 5 2 4" xfId="1456"/>
    <cellStyle name="Обычный 2 6 5 3" xfId="656"/>
    <cellStyle name="Обычный 2 6 5 3 2" xfId="2694"/>
    <cellStyle name="Обычный 2 6 5 3 3" xfId="1688"/>
    <cellStyle name="Обычный 2 6 5 4" xfId="2230"/>
    <cellStyle name="Обычный 2 6 5 5" xfId="1224"/>
    <cellStyle name="Обычный 2 6 6" xfId="218"/>
    <cellStyle name="Обычный 2 6 6 2" xfId="450"/>
    <cellStyle name="Обычный 2 6 6 2 2" xfId="914"/>
    <cellStyle name="Обычный 2 6 6 2 2 2" xfId="2952"/>
    <cellStyle name="Обычный 2 6 6 2 2 3" xfId="1946"/>
    <cellStyle name="Обычный 2 6 6 2 3" xfId="2488"/>
    <cellStyle name="Обычный 2 6 6 2 4" xfId="1482"/>
    <cellStyle name="Обычный 2 6 6 3" xfId="682"/>
    <cellStyle name="Обычный 2 6 6 3 2" xfId="2720"/>
    <cellStyle name="Обычный 2 6 6 3 3" xfId="1714"/>
    <cellStyle name="Обычный 2 6 6 4" xfId="2256"/>
    <cellStyle name="Обычный 2 6 6 5" xfId="1250"/>
    <cellStyle name="Обычный 2 6 7" xfId="244"/>
    <cellStyle name="Обычный 2 6 7 2" xfId="476"/>
    <cellStyle name="Обычный 2 6 7 2 2" xfId="940"/>
    <cellStyle name="Обычный 2 6 7 2 2 2" xfId="2978"/>
    <cellStyle name="Обычный 2 6 7 2 2 3" xfId="1972"/>
    <cellStyle name="Обычный 2 6 7 2 3" xfId="2514"/>
    <cellStyle name="Обычный 2 6 7 2 4" xfId="1508"/>
    <cellStyle name="Обычный 2 6 7 3" xfId="708"/>
    <cellStyle name="Обычный 2 6 7 3 2" xfId="2746"/>
    <cellStyle name="Обычный 2 6 7 3 3" xfId="1740"/>
    <cellStyle name="Обычный 2 6 7 4" xfId="2282"/>
    <cellStyle name="Обычный 2 6 7 5" xfId="1276"/>
    <cellStyle name="Обычный 2 6 8" xfId="270"/>
    <cellStyle name="Обычный 2 6 8 2" xfId="502"/>
    <cellStyle name="Обычный 2 6 8 2 2" xfId="966"/>
    <cellStyle name="Обычный 2 6 8 2 2 2" xfId="3004"/>
    <cellStyle name="Обычный 2 6 8 2 2 3" xfId="1998"/>
    <cellStyle name="Обычный 2 6 8 2 3" xfId="2540"/>
    <cellStyle name="Обычный 2 6 8 2 4" xfId="1534"/>
    <cellStyle name="Обычный 2 6 8 3" xfId="734"/>
    <cellStyle name="Обычный 2 6 8 3 2" xfId="2772"/>
    <cellStyle name="Обычный 2 6 8 3 3" xfId="1766"/>
    <cellStyle name="Обычный 2 6 8 4" xfId="2308"/>
    <cellStyle name="Обычный 2 6 8 5" xfId="1302"/>
    <cellStyle name="Обычный 2 6 9" xfId="296"/>
    <cellStyle name="Обычный 2 6 9 2" xfId="528"/>
    <cellStyle name="Обычный 2 6 9 2 2" xfId="992"/>
    <cellStyle name="Обычный 2 6 9 2 2 2" xfId="3030"/>
    <cellStyle name="Обычный 2 6 9 2 2 3" xfId="2024"/>
    <cellStyle name="Обычный 2 6 9 2 3" xfId="2566"/>
    <cellStyle name="Обычный 2 6 9 2 4" xfId="1560"/>
    <cellStyle name="Обычный 2 6 9 3" xfId="760"/>
    <cellStyle name="Обычный 2 6 9 3 2" xfId="2798"/>
    <cellStyle name="Обычный 2 6 9 3 3" xfId="1792"/>
    <cellStyle name="Обычный 2 6 9 4" xfId="2334"/>
    <cellStyle name="Обычный 2 6 9 5" xfId="1328"/>
    <cellStyle name="Обычный 2 7" xfId="65"/>
    <cellStyle name="Обычный 2 7 10" xfId="322"/>
    <cellStyle name="Обычный 2 7 10 2" xfId="786"/>
    <cellStyle name="Обычный 2 7 10 2 2" xfId="2824"/>
    <cellStyle name="Обычный 2 7 10 2 3" xfId="1818"/>
    <cellStyle name="Обычный 2 7 10 3" xfId="2360"/>
    <cellStyle name="Обычный 2 7 10 4" xfId="1354"/>
    <cellStyle name="Обычный 2 7 11" xfId="554"/>
    <cellStyle name="Обычный 2 7 11 2" xfId="2592"/>
    <cellStyle name="Обычный 2 7 11 3" xfId="1586"/>
    <cellStyle name="Обычный 2 7 12" xfId="1020"/>
    <cellStyle name="Обычный 2 7 12 2" xfId="3058"/>
    <cellStyle name="Обычный 2 7 12 3" xfId="2052"/>
    <cellStyle name="Обычный 2 7 13" xfId="1046"/>
    <cellStyle name="Обычный 2 7 13 2" xfId="3084"/>
    <cellStyle name="Обычный 2 7 13 3" xfId="2078"/>
    <cellStyle name="Обычный 2 7 14" xfId="89"/>
    <cellStyle name="Обычный 2 7 14 2" xfId="2128"/>
    <cellStyle name="Обычный 2 7 15" xfId="1072"/>
    <cellStyle name="Обычный 2 7 15 2" xfId="3110"/>
    <cellStyle name="Обычный 2 7 16" xfId="2104"/>
    <cellStyle name="Обычный 2 7 17" xfId="1122"/>
    <cellStyle name="Обычный 2 7 2" xfId="116"/>
    <cellStyle name="Обычный 2 7 2 2" xfId="348"/>
    <cellStyle name="Обычный 2 7 2 2 2" xfId="812"/>
    <cellStyle name="Обычный 2 7 2 2 2 2" xfId="2850"/>
    <cellStyle name="Обычный 2 7 2 2 2 3" xfId="1844"/>
    <cellStyle name="Обычный 2 7 2 2 3" xfId="2386"/>
    <cellStyle name="Обычный 2 7 2 2 4" xfId="1380"/>
    <cellStyle name="Обычный 2 7 2 3" xfId="580"/>
    <cellStyle name="Обычный 2 7 2 3 2" xfId="2618"/>
    <cellStyle name="Обычный 2 7 2 3 3" xfId="1612"/>
    <cellStyle name="Обычный 2 7 2 4" xfId="1098"/>
    <cellStyle name="Обычный 2 7 2 4 2" xfId="3136"/>
    <cellStyle name="Обычный 2 7 2 5" xfId="2154"/>
    <cellStyle name="Обычный 2 7 2 6" xfId="1148"/>
    <cellStyle name="Обычный 2 7 3" xfId="142"/>
    <cellStyle name="Обычный 2 7 3 2" xfId="374"/>
    <cellStyle name="Обычный 2 7 3 2 2" xfId="838"/>
    <cellStyle name="Обычный 2 7 3 2 2 2" xfId="2876"/>
    <cellStyle name="Обычный 2 7 3 2 2 3" xfId="1870"/>
    <cellStyle name="Обычный 2 7 3 2 3" xfId="2412"/>
    <cellStyle name="Обычный 2 7 3 2 4" xfId="1406"/>
    <cellStyle name="Обычный 2 7 3 3" xfId="606"/>
    <cellStyle name="Обычный 2 7 3 3 2" xfId="2644"/>
    <cellStyle name="Обычный 2 7 3 3 3" xfId="1638"/>
    <cellStyle name="Обычный 2 7 3 4" xfId="2180"/>
    <cellStyle name="Обычный 2 7 3 5" xfId="1174"/>
    <cellStyle name="Обычный 2 7 4" xfId="168"/>
    <cellStyle name="Обычный 2 7 4 2" xfId="400"/>
    <cellStyle name="Обычный 2 7 4 2 2" xfId="864"/>
    <cellStyle name="Обычный 2 7 4 2 2 2" xfId="2902"/>
    <cellStyle name="Обычный 2 7 4 2 2 3" xfId="1896"/>
    <cellStyle name="Обычный 2 7 4 2 3" xfId="2438"/>
    <cellStyle name="Обычный 2 7 4 2 4" xfId="1432"/>
    <cellStyle name="Обычный 2 7 4 3" xfId="632"/>
    <cellStyle name="Обычный 2 7 4 3 2" xfId="2670"/>
    <cellStyle name="Обычный 2 7 4 3 3" xfId="1664"/>
    <cellStyle name="Обычный 2 7 4 4" xfId="2206"/>
    <cellStyle name="Обычный 2 7 4 5" xfId="1200"/>
    <cellStyle name="Обычный 2 7 5" xfId="194"/>
    <cellStyle name="Обычный 2 7 5 2" xfId="426"/>
    <cellStyle name="Обычный 2 7 5 2 2" xfId="890"/>
    <cellStyle name="Обычный 2 7 5 2 2 2" xfId="2928"/>
    <cellStyle name="Обычный 2 7 5 2 2 3" xfId="1922"/>
    <cellStyle name="Обычный 2 7 5 2 3" xfId="2464"/>
    <cellStyle name="Обычный 2 7 5 2 4" xfId="1458"/>
    <cellStyle name="Обычный 2 7 5 3" xfId="658"/>
    <cellStyle name="Обычный 2 7 5 3 2" xfId="2696"/>
    <cellStyle name="Обычный 2 7 5 3 3" xfId="1690"/>
    <cellStyle name="Обычный 2 7 5 4" xfId="2232"/>
    <cellStyle name="Обычный 2 7 5 5" xfId="1226"/>
    <cellStyle name="Обычный 2 7 6" xfId="220"/>
    <cellStyle name="Обычный 2 7 6 2" xfId="452"/>
    <cellStyle name="Обычный 2 7 6 2 2" xfId="916"/>
    <cellStyle name="Обычный 2 7 6 2 2 2" xfId="2954"/>
    <cellStyle name="Обычный 2 7 6 2 2 3" xfId="1948"/>
    <cellStyle name="Обычный 2 7 6 2 3" xfId="2490"/>
    <cellStyle name="Обычный 2 7 6 2 4" xfId="1484"/>
    <cellStyle name="Обычный 2 7 6 3" xfId="684"/>
    <cellStyle name="Обычный 2 7 6 3 2" xfId="2722"/>
    <cellStyle name="Обычный 2 7 6 3 3" xfId="1716"/>
    <cellStyle name="Обычный 2 7 6 4" xfId="2258"/>
    <cellStyle name="Обычный 2 7 6 5" xfId="1252"/>
    <cellStyle name="Обычный 2 7 7" xfId="246"/>
    <cellStyle name="Обычный 2 7 7 2" xfId="478"/>
    <cellStyle name="Обычный 2 7 7 2 2" xfId="942"/>
    <cellStyle name="Обычный 2 7 7 2 2 2" xfId="2980"/>
    <cellStyle name="Обычный 2 7 7 2 2 3" xfId="1974"/>
    <cellStyle name="Обычный 2 7 7 2 3" xfId="2516"/>
    <cellStyle name="Обычный 2 7 7 2 4" xfId="1510"/>
    <cellStyle name="Обычный 2 7 7 3" xfId="710"/>
    <cellStyle name="Обычный 2 7 7 3 2" xfId="2748"/>
    <cellStyle name="Обычный 2 7 7 3 3" xfId="1742"/>
    <cellStyle name="Обычный 2 7 7 4" xfId="2284"/>
    <cellStyle name="Обычный 2 7 7 5" xfId="1278"/>
    <cellStyle name="Обычный 2 7 8" xfId="272"/>
    <cellStyle name="Обычный 2 7 8 2" xfId="504"/>
    <cellStyle name="Обычный 2 7 8 2 2" xfId="968"/>
    <cellStyle name="Обычный 2 7 8 2 2 2" xfId="3006"/>
    <cellStyle name="Обычный 2 7 8 2 2 3" xfId="2000"/>
    <cellStyle name="Обычный 2 7 8 2 3" xfId="2542"/>
    <cellStyle name="Обычный 2 7 8 2 4" xfId="1536"/>
    <cellStyle name="Обычный 2 7 8 3" xfId="736"/>
    <cellStyle name="Обычный 2 7 8 3 2" xfId="2774"/>
    <cellStyle name="Обычный 2 7 8 3 3" xfId="1768"/>
    <cellStyle name="Обычный 2 7 8 4" xfId="2310"/>
    <cellStyle name="Обычный 2 7 8 5" xfId="1304"/>
    <cellStyle name="Обычный 2 7 9" xfId="298"/>
    <cellStyle name="Обычный 2 7 9 2" xfId="530"/>
    <cellStyle name="Обычный 2 7 9 2 2" xfId="994"/>
    <cellStyle name="Обычный 2 7 9 2 2 2" xfId="3032"/>
    <cellStyle name="Обычный 2 7 9 2 2 3" xfId="2026"/>
    <cellStyle name="Обычный 2 7 9 2 3" xfId="2568"/>
    <cellStyle name="Обычный 2 7 9 2 4" xfId="1562"/>
    <cellStyle name="Обычный 2 7 9 3" xfId="762"/>
    <cellStyle name="Обычный 2 7 9 3 2" xfId="2800"/>
    <cellStyle name="Обычный 2 7 9 3 3" xfId="1794"/>
    <cellStyle name="Обычный 2 7 9 4" xfId="2336"/>
    <cellStyle name="Обычный 2 7 9 5" xfId="1330"/>
    <cellStyle name="Обычный 2 8" xfId="67"/>
    <cellStyle name="Обычный 2 8 10" xfId="324"/>
    <cellStyle name="Обычный 2 8 10 2" xfId="788"/>
    <cellStyle name="Обычный 2 8 10 2 2" xfId="2826"/>
    <cellStyle name="Обычный 2 8 10 2 3" xfId="1820"/>
    <cellStyle name="Обычный 2 8 10 3" xfId="2362"/>
    <cellStyle name="Обычный 2 8 10 4" xfId="1356"/>
    <cellStyle name="Обычный 2 8 11" xfId="556"/>
    <cellStyle name="Обычный 2 8 11 2" xfId="2594"/>
    <cellStyle name="Обычный 2 8 11 3" xfId="1588"/>
    <cellStyle name="Обычный 2 8 12" xfId="1022"/>
    <cellStyle name="Обычный 2 8 12 2" xfId="3060"/>
    <cellStyle name="Обычный 2 8 12 3" xfId="2054"/>
    <cellStyle name="Обычный 2 8 13" xfId="1048"/>
    <cellStyle name="Обычный 2 8 13 2" xfId="3086"/>
    <cellStyle name="Обычный 2 8 13 3" xfId="2080"/>
    <cellStyle name="Обычный 2 8 14" xfId="91"/>
    <cellStyle name="Обычный 2 8 14 2" xfId="2130"/>
    <cellStyle name="Обычный 2 8 15" xfId="1074"/>
    <cellStyle name="Обычный 2 8 15 2" xfId="3112"/>
    <cellStyle name="Обычный 2 8 16" xfId="2106"/>
    <cellStyle name="Обычный 2 8 17" xfId="1124"/>
    <cellStyle name="Обычный 2 8 2" xfId="118"/>
    <cellStyle name="Обычный 2 8 2 2" xfId="350"/>
    <cellStyle name="Обычный 2 8 2 2 2" xfId="814"/>
    <cellStyle name="Обычный 2 8 2 2 2 2" xfId="2852"/>
    <cellStyle name="Обычный 2 8 2 2 2 3" xfId="1846"/>
    <cellStyle name="Обычный 2 8 2 2 3" xfId="2388"/>
    <cellStyle name="Обычный 2 8 2 2 4" xfId="1382"/>
    <cellStyle name="Обычный 2 8 2 3" xfId="582"/>
    <cellStyle name="Обычный 2 8 2 3 2" xfId="2620"/>
    <cellStyle name="Обычный 2 8 2 3 3" xfId="1614"/>
    <cellStyle name="Обычный 2 8 2 4" xfId="1100"/>
    <cellStyle name="Обычный 2 8 2 4 2" xfId="3138"/>
    <cellStyle name="Обычный 2 8 2 5" xfId="2156"/>
    <cellStyle name="Обычный 2 8 2 6" xfId="1150"/>
    <cellStyle name="Обычный 2 8 3" xfId="144"/>
    <cellStyle name="Обычный 2 8 3 2" xfId="376"/>
    <cellStyle name="Обычный 2 8 3 2 2" xfId="840"/>
    <cellStyle name="Обычный 2 8 3 2 2 2" xfId="2878"/>
    <cellStyle name="Обычный 2 8 3 2 2 3" xfId="1872"/>
    <cellStyle name="Обычный 2 8 3 2 3" xfId="2414"/>
    <cellStyle name="Обычный 2 8 3 2 4" xfId="1408"/>
    <cellStyle name="Обычный 2 8 3 3" xfId="608"/>
    <cellStyle name="Обычный 2 8 3 3 2" xfId="2646"/>
    <cellStyle name="Обычный 2 8 3 3 3" xfId="1640"/>
    <cellStyle name="Обычный 2 8 3 4" xfId="2182"/>
    <cellStyle name="Обычный 2 8 3 5" xfId="1176"/>
    <cellStyle name="Обычный 2 8 4" xfId="170"/>
    <cellStyle name="Обычный 2 8 4 2" xfId="402"/>
    <cellStyle name="Обычный 2 8 4 2 2" xfId="866"/>
    <cellStyle name="Обычный 2 8 4 2 2 2" xfId="2904"/>
    <cellStyle name="Обычный 2 8 4 2 2 3" xfId="1898"/>
    <cellStyle name="Обычный 2 8 4 2 3" xfId="2440"/>
    <cellStyle name="Обычный 2 8 4 2 4" xfId="1434"/>
    <cellStyle name="Обычный 2 8 4 3" xfId="634"/>
    <cellStyle name="Обычный 2 8 4 3 2" xfId="2672"/>
    <cellStyle name="Обычный 2 8 4 3 3" xfId="1666"/>
    <cellStyle name="Обычный 2 8 4 4" xfId="2208"/>
    <cellStyle name="Обычный 2 8 4 5" xfId="1202"/>
    <cellStyle name="Обычный 2 8 5" xfId="196"/>
    <cellStyle name="Обычный 2 8 5 2" xfId="428"/>
    <cellStyle name="Обычный 2 8 5 2 2" xfId="892"/>
    <cellStyle name="Обычный 2 8 5 2 2 2" xfId="2930"/>
    <cellStyle name="Обычный 2 8 5 2 2 3" xfId="1924"/>
    <cellStyle name="Обычный 2 8 5 2 3" xfId="2466"/>
    <cellStyle name="Обычный 2 8 5 2 4" xfId="1460"/>
    <cellStyle name="Обычный 2 8 5 3" xfId="660"/>
    <cellStyle name="Обычный 2 8 5 3 2" xfId="2698"/>
    <cellStyle name="Обычный 2 8 5 3 3" xfId="1692"/>
    <cellStyle name="Обычный 2 8 5 4" xfId="2234"/>
    <cellStyle name="Обычный 2 8 5 5" xfId="1228"/>
    <cellStyle name="Обычный 2 8 6" xfId="222"/>
    <cellStyle name="Обычный 2 8 6 2" xfId="454"/>
    <cellStyle name="Обычный 2 8 6 2 2" xfId="918"/>
    <cellStyle name="Обычный 2 8 6 2 2 2" xfId="2956"/>
    <cellStyle name="Обычный 2 8 6 2 2 3" xfId="1950"/>
    <cellStyle name="Обычный 2 8 6 2 3" xfId="2492"/>
    <cellStyle name="Обычный 2 8 6 2 4" xfId="1486"/>
    <cellStyle name="Обычный 2 8 6 3" xfId="686"/>
    <cellStyle name="Обычный 2 8 6 3 2" xfId="2724"/>
    <cellStyle name="Обычный 2 8 6 3 3" xfId="1718"/>
    <cellStyle name="Обычный 2 8 6 4" xfId="2260"/>
    <cellStyle name="Обычный 2 8 6 5" xfId="1254"/>
    <cellStyle name="Обычный 2 8 7" xfId="248"/>
    <cellStyle name="Обычный 2 8 7 2" xfId="480"/>
    <cellStyle name="Обычный 2 8 7 2 2" xfId="944"/>
    <cellStyle name="Обычный 2 8 7 2 2 2" xfId="2982"/>
    <cellStyle name="Обычный 2 8 7 2 2 3" xfId="1976"/>
    <cellStyle name="Обычный 2 8 7 2 3" xfId="2518"/>
    <cellStyle name="Обычный 2 8 7 2 4" xfId="1512"/>
    <cellStyle name="Обычный 2 8 7 3" xfId="712"/>
    <cellStyle name="Обычный 2 8 7 3 2" xfId="2750"/>
    <cellStyle name="Обычный 2 8 7 3 3" xfId="1744"/>
    <cellStyle name="Обычный 2 8 7 4" xfId="2286"/>
    <cellStyle name="Обычный 2 8 7 5" xfId="1280"/>
    <cellStyle name="Обычный 2 8 8" xfId="274"/>
    <cellStyle name="Обычный 2 8 8 2" xfId="506"/>
    <cellStyle name="Обычный 2 8 8 2 2" xfId="970"/>
    <cellStyle name="Обычный 2 8 8 2 2 2" xfId="3008"/>
    <cellStyle name="Обычный 2 8 8 2 2 3" xfId="2002"/>
    <cellStyle name="Обычный 2 8 8 2 3" xfId="2544"/>
    <cellStyle name="Обычный 2 8 8 2 4" xfId="1538"/>
    <cellStyle name="Обычный 2 8 8 3" xfId="738"/>
    <cellStyle name="Обычный 2 8 8 3 2" xfId="2776"/>
    <cellStyle name="Обычный 2 8 8 3 3" xfId="1770"/>
    <cellStyle name="Обычный 2 8 8 4" xfId="2312"/>
    <cellStyle name="Обычный 2 8 8 5" xfId="1306"/>
    <cellStyle name="Обычный 2 8 9" xfId="300"/>
    <cellStyle name="Обычный 2 8 9 2" xfId="532"/>
    <cellStyle name="Обычный 2 8 9 2 2" xfId="996"/>
    <cellStyle name="Обычный 2 8 9 2 2 2" xfId="3034"/>
    <cellStyle name="Обычный 2 8 9 2 2 3" xfId="2028"/>
    <cellStyle name="Обычный 2 8 9 2 3" xfId="2570"/>
    <cellStyle name="Обычный 2 8 9 2 4" xfId="1564"/>
    <cellStyle name="Обычный 2 8 9 3" xfId="764"/>
    <cellStyle name="Обычный 2 8 9 3 2" xfId="2802"/>
    <cellStyle name="Обычный 2 8 9 3 3" xfId="1796"/>
    <cellStyle name="Обычный 2 8 9 4" xfId="2338"/>
    <cellStyle name="Обычный 2 8 9 5" xfId="1332"/>
    <cellStyle name="Обычный 2 9" xfId="69"/>
    <cellStyle name="Обычный 2 9 10" xfId="326"/>
    <cellStyle name="Обычный 2 9 10 2" xfId="790"/>
    <cellStyle name="Обычный 2 9 10 2 2" xfId="2828"/>
    <cellStyle name="Обычный 2 9 10 2 3" xfId="1822"/>
    <cellStyle name="Обычный 2 9 10 3" xfId="2364"/>
    <cellStyle name="Обычный 2 9 10 4" xfId="1358"/>
    <cellStyle name="Обычный 2 9 11" xfId="558"/>
    <cellStyle name="Обычный 2 9 11 2" xfId="2596"/>
    <cellStyle name="Обычный 2 9 11 3" xfId="1590"/>
    <cellStyle name="Обычный 2 9 12" xfId="1024"/>
    <cellStyle name="Обычный 2 9 12 2" xfId="3062"/>
    <cellStyle name="Обычный 2 9 12 3" xfId="2056"/>
    <cellStyle name="Обычный 2 9 13" xfId="1050"/>
    <cellStyle name="Обычный 2 9 13 2" xfId="3088"/>
    <cellStyle name="Обычный 2 9 13 3" xfId="2082"/>
    <cellStyle name="Обычный 2 9 14" xfId="93"/>
    <cellStyle name="Обычный 2 9 14 2" xfId="2132"/>
    <cellStyle name="Обычный 2 9 15" xfId="1076"/>
    <cellStyle name="Обычный 2 9 15 2" xfId="3114"/>
    <cellStyle name="Обычный 2 9 16" xfId="2108"/>
    <cellStyle name="Обычный 2 9 17" xfId="1126"/>
    <cellStyle name="Обычный 2 9 2" xfId="120"/>
    <cellStyle name="Обычный 2 9 2 2" xfId="352"/>
    <cellStyle name="Обычный 2 9 2 2 2" xfId="816"/>
    <cellStyle name="Обычный 2 9 2 2 2 2" xfId="2854"/>
    <cellStyle name="Обычный 2 9 2 2 2 3" xfId="1848"/>
    <cellStyle name="Обычный 2 9 2 2 3" xfId="2390"/>
    <cellStyle name="Обычный 2 9 2 2 4" xfId="1384"/>
    <cellStyle name="Обычный 2 9 2 3" xfId="584"/>
    <cellStyle name="Обычный 2 9 2 3 2" xfId="2622"/>
    <cellStyle name="Обычный 2 9 2 3 3" xfId="1616"/>
    <cellStyle name="Обычный 2 9 2 4" xfId="1102"/>
    <cellStyle name="Обычный 2 9 2 4 2" xfId="3140"/>
    <cellStyle name="Обычный 2 9 2 5" xfId="2158"/>
    <cellStyle name="Обычный 2 9 2 6" xfId="1152"/>
    <cellStyle name="Обычный 2 9 3" xfId="146"/>
    <cellStyle name="Обычный 2 9 3 2" xfId="378"/>
    <cellStyle name="Обычный 2 9 3 2 2" xfId="842"/>
    <cellStyle name="Обычный 2 9 3 2 2 2" xfId="2880"/>
    <cellStyle name="Обычный 2 9 3 2 2 3" xfId="1874"/>
    <cellStyle name="Обычный 2 9 3 2 3" xfId="2416"/>
    <cellStyle name="Обычный 2 9 3 2 4" xfId="1410"/>
    <cellStyle name="Обычный 2 9 3 3" xfId="610"/>
    <cellStyle name="Обычный 2 9 3 3 2" xfId="2648"/>
    <cellStyle name="Обычный 2 9 3 3 3" xfId="1642"/>
    <cellStyle name="Обычный 2 9 3 4" xfId="2184"/>
    <cellStyle name="Обычный 2 9 3 5" xfId="1178"/>
    <cellStyle name="Обычный 2 9 4" xfId="172"/>
    <cellStyle name="Обычный 2 9 4 2" xfId="404"/>
    <cellStyle name="Обычный 2 9 4 2 2" xfId="868"/>
    <cellStyle name="Обычный 2 9 4 2 2 2" xfId="2906"/>
    <cellStyle name="Обычный 2 9 4 2 2 3" xfId="1900"/>
    <cellStyle name="Обычный 2 9 4 2 3" xfId="2442"/>
    <cellStyle name="Обычный 2 9 4 2 4" xfId="1436"/>
    <cellStyle name="Обычный 2 9 4 3" xfId="636"/>
    <cellStyle name="Обычный 2 9 4 3 2" xfId="2674"/>
    <cellStyle name="Обычный 2 9 4 3 3" xfId="1668"/>
    <cellStyle name="Обычный 2 9 4 4" xfId="2210"/>
    <cellStyle name="Обычный 2 9 4 5" xfId="1204"/>
    <cellStyle name="Обычный 2 9 5" xfId="198"/>
    <cellStyle name="Обычный 2 9 5 2" xfId="430"/>
    <cellStyle name="Обычный 2 9 5 2 2" xfId="894"/>
    <cellStyle name="Обычный 2 9 5 2 2 2" xfId="2932"/>
    <cellStyle name="Обычный 2 9 5 2 2 3" xfId="1926"/>
    <cellStyle name="Обычный 2 9 5 2 3" xfId="2468"/>
    <cellStyle name="Обычный 2 9 5 2 4" xfId="1462"/>
    <cellStyle name="Обычный 2 9 5 3" xfId="662"/>
    <cellStyle name="Обычный 2 9 5 3 2" xfId="2700"/>
    <cellStyle name="Обычный 2 9 5 3 3" xfId="1694"/>
    <cellStyle name="Обычный 2 9 5 4" xfId="2236"/>
    <cellStyle name="Обычный 2 9 5 5" xfId="1230"/>
    <cellStyle name="Обычный 2 9 6" xfId="224"/>
    <cellStyle name="Обычный 2 9 6 2" xfId="456"/>
    <cellStyle name="Обычный 2 9 6 2 2" xfId="920"/>
    <cellStyle name="Обычный 2 9 6 2 2 2" xfId="2958"/>
    <cellStyle name="Обычный 2 9 6 2 2 3" xfId="1952"/>
    <cellStyle name="Обычный 2 9 6 2 3" xfId="2494"/>
    <cellStyle name="Обычный 2 9 6 2 4" xfId="1488"/>
    <cellStyle name="Обычный 2 9 6 3" xfId="688"/>
    <cellStyle name="Обычный 2 9 6 3 2" xfId="2726"/>
    <cellStyle name="Обычный 2 9 6 3 3" xfId="1720"/>
    <cellStyle name="Обычный 2 9 6 4" xfId="2262"/>
    <cellStyle name="Обычный 2 9 6 5" xfId="1256"/>
    <cellStyle name="Обычный 2 9 7" xfId="250"/>
    <cellStyle name="Обычный 2 9 7 2" xfId="482"/>
    <cellStyle name="Обычный 2 9 7 2 2" xfId="946"/>
    <cellStyle name="Обычный 2 9 7 2 2 2" xfId="2984"/>
    <cellStyle name="Обычный 2 9 7 2 2 3" xfId="1978"/>
    <cellStyle name="Обычный 2 9 7 2 3" xfId="2520"/>
    <cellStyle name="Обычный 2 9 7 2 4" xfId="1514"/>
    <cellStyle name="Обычный 2 9 7 3" xfId="714"/>
    <cellStyle name="Обычный 2 9 7 3 2" xfId="2752"/>
    <cellStyle name="Обычный 2 9 7 3 3" xfId="1746"/>
    <cellStyle name="Обычный 2 9 7 4" xfId="2288"/>
    <cellStyle name="Обычный 2 9 7 5" xfId="1282"/>
    <cellStyle name="Обычный 2 9 8" xfId="276"/>
    <cellStyle name="Обычный 2 9 8 2" xfId="508"/>
    <cellStyle name="Обычный 2 9 8 2 2" xfId="972"/>
    <cellStyle name="Обычный 2 9 8 2 2 2" xfId="3010"/>
    <cellStyle name="Обычный 2 9 8 2 2 3" xfId="2004"/>
    <cellStyle name="Обычный 2 9 8 2 3" xfId="2546"/>
    <cellStyle name="Обычный 2 9 8 2 4" xfId="1540"/>
    <cellStyle name="Обычный 2 9 8 3" xfId="740"/>
    <cellStyle name="Обычный 2 9 8 3 2" xfId="2778"/>
    <cellStyle name="Обычный 2 9 8 3 3" xfId="1772"/>
    <cellStyle name="Обычный 2 9 8 4" xfId="2314"/>
    <cellStyle name="Обычный 2 9 8 5" xfId="1308"/>
    <cellStyle name="Обычный 2 9 9" xfId="302"/>
    <cellStyle name="Обычный 2 9 9 2" xfId="534"/>
    <cellStyle name="Обычный 2 9 9 2 2" xfId="998"/>
    <cellStyle name="Обычный 2 9 9 2 2 2" xfId="3036"/>
    <cellStyle name="Обычный 2 9 9 2 2 3" xfId="2030"/>
    <cellStyle name="Обычный 2 9 9 2 3" xfId="2572"/>
    <cellStyle name="Обычный 2 9 9 2 4" xfId="1566"/>
    <cellStyle name="Обычный 2 9 9 3" xfId="766"/>
    <cellStyle name="Обычный 2 9 9 3 2" xfId="2804"/>
    <cellStyle name="Обычный 2 9 9 3 3" xfId="1798"/>
    <cellStyle name="Обычный 2 9 9 4" xfId="2340"/>
    <cellStyle name="Обычный 2 9 9 5" xfId="1334"/>
    <cellStyle name="Обычный 3" xfId="44"/>
    <cellStyle name="Обычный 3 10" xfId="70"/>
    <cellStyle name="Обычный 3 10 10" xfId="327"/>
    <cellStyle name="Обычный 3 10 10 2" xfId="791"/>
    <cellStyle name="Обычный 3 10 10 2 2" xfId="2829"/>
    <cellStyle name="Обычный 3 10 10 2 3" xfId="1823"/>
    <cellStyle name="Обычный 3 10 10 3" xfId="2365"/>
    <cellStyle name="Обычный 3 10 10 4" xfId="1359"/>
    <cellStyle name="Обычный 3 10 11" xfId="559"/>
    <cellStyle name="Обычный 3 10 11 2" xfId="2597"/>
    <cellStyle name="Обычный 3 10 11 3" xfId="1591"/>
    <cellStyle name="Обычный 3 10 12" xfId="1025"/>
    <cellStyle name="Обычный 3 10 12 2" xfId="3063"/>
    <cellStyle name="Обычный 3 10 12 3" xfId="2057"/>
    <cellStyle name="Обычный 3 10 13" xfId="1051"/>
    <cellStyle name="Обычный 3 10 13 2" xfId="3089"/>
    <cellStyle name="Обычный 3 10 13 3" xfId="2083"/>
    <cellStyle name="Обычный 3 10 14" xfId="94"/>
    <cellStyle name="Обычный 3 10 14 2" xfId="2133"/>
    <cellStyle name="Обычный 3 10 15" xfId="1077"/>
    <cellStyle name="Обычный 3 10 15 2" xfId="3115"/>
    <cellStyle name="Обычный 3 10 16" xfId="2109"/>
    <cellStyle name="Обычный 3 10 17" xfId="1127"/>
    <cellStyle name="Обычный 3 10 2" xfId="121"/>
    <cellStyle name="Обычный 3 10 2 2" xfId="353"/>
    <cellStyle name="Обычный 3 10 2 2 2" xfId="817"/>
    <cellStyle name="Обычный 3 10 2 2 2 2" xfId="2855"/>
    <cellStyle name="Обычный 3 10 2 2 2 3" xfId="1849"/>
    <cellStyle name="Обычный 3 10 2 2 3" xfId="2391"/>
    <cellStyle name="Обычный 3 10 2 2 4" xfId="1385"/>
    <cellStyle name="Обычный 3 10 2 3" xfId="585"/>
    <cellStyle name="Обычный 3 10 2 3 2" xfId="2623"/>
    <cellStyle name="Обычный 3 10 2 3 3" xfId="1617"/>
    <cellStyle name="Обычный 3 10 2 4" xfId="1103"/>
    <cellStyle name="Обычный 3 10 2 4 2" xfId="3141"/>
    <cellStyle name="Обычный 3 10 2 5" xfId="2159"/>
    <cellStyle name="Обычный 3 10 2 6" xfId="1153"/>
    <cellStyle name="Обычный 3 10 3" xfId="147"/>
    <cellStyle name="Обычный 3 10 3 2" xfId="379"/>
    <cellStyle name="Обычный 3 10 3 2 2" xfId="843"/>
    <cellStyle name="Обычный 3 10 3 2 2 2" xfId="2881"/>
    <cellStyle name="Обычный 3 10 3 2 2 3" xfId="1875"/>
    <cellStyle name="Обычный 3 10 3 2 3" xfId="2417"/>
    <cellStyle name="Обычный 3 10 3 2 4" xfId="1411"/>
    <cellStyle name="Обычный 3 10 3 3" xfId="611"/>
    <cellStyle name="Обычный 3 10 3 3 2" xfId="2649"/>
    <cellStyle name="Обычный 3 10 3 3 3" xfId="1643"/>
    <cellStyle name="Обычный 3 10 3 4" xfId="2185"/>
    <cellStyle name="Обычный 3 10 3 5" xfId="1179"/>
    <cellStyle name="Обычный 3 10 4" xfId="173"/>
    <cellStyle name="Обычный 3 10 4 2" xfId="405"/>
    <cellStyle name="Обычный 3 10 4 2 2" xfId="869"/>
    <cellStyle name="Обычный 3 10 4 2 2 2" xfId="2907"/>
    <cellStyle name="Обычный 3 10 4 2 2 3" xfId="1901"/>
    <cellStyle name="Обычный 3 10 4 2 3" xfId="2443"/>
    <cellStyle name="Обычный 3 10 4 2 4" xfId="1437"/>
    <cellStyle name="Обычный 3 10 4 3" xfId="637"/>
    <cellStyle name="Обычный 3 10 4 3 2" xfId="2675"/>
    <cellStyle name="Обычный 3 10 4 3 3" xfId="1669"/>
    <cellStyle name="Обычный 3 10 4 4" xfId="2211"/>
    <cellStyle name="Обычный 3 10 4 5" xfId="1205"/>
    <cellStyle name="Обычный 3 10 5" xfId="199"/>
    <cellStyle name="Обычный 3 10 5 2" xfId="431"/>
    <cellStyle name="Обычный 3 10 5 2 2" xfId="895"/>
    <cellStyle name="Обычный 3 10 5 2 2 2" xfId="2933"/>
    <cellStyle name="Обычный 3 10 5 2 2 3" xfId="1927"/>
    <cellStyle name="Обычный 3 10 5 2 3" xfId="2469"/>
    <cellStyle name="Обычный 3 10 5 2 4" xfId="1463"/>
    <cellStyle name="Обычный 3 10 5 3" xfId="663"/>
    <cellStyle name="Обычный 3 10 5 3 2" xfId="2701"/>
    <cellStyle name="Обычный 3 10 5 3 3" xfId="1695"/>
    <cellStyle name="Обычный 3 10 5 4" xfId="2237"/>
    <cellStyle name="Обычный 3 10 5 5" xfId="1231"/>
    <cellStyle name="Обычный 3 10 6" xfId="225"/>
    <cellStyle name="Обычный 3 10 6 2" xfId="457"/>
    <cellStyle name="Обычный 3 10 6 2 2" xfId="921"/>
    <cellStyle name="Обычный 3 10 6 2 2 2" xfId="2959"/>
    <cellStyle name="Обычный 3 10 6 2 2 3" xfId="1953"/>
    <cellStyle name="Обычный 3 10 6 2 3" xfId="2495"/>
    <cellStyle name="Обычный 3 10 6 2 4" xfId="1489"/>
    <cellStyle name="Обычный 3 10 6 3" xfId="689"/>
    <cellStyle name="Обычный 3 10 6 3 2" xfId="2727"/>
    <cellStyle name="Обычный 3 10 6 3 3" xfId="1721"/>
    <cellStyle name="Обычный 3 10 6 4" xfId="2263"/>
    <cellStyle name="Обычный 3 10 6 5" xfId="1257"/>
    <cellStyle name="Обычный 3 10 7" xfId="251"/>
    <cellStyle name="Обычный 3 10 7 2" xfId="483"/>
    <cellStyle name="Обычный 3 10 7 2 2" xfId="947"/>
    <cellStyle name="Обычный 3 10 7 2 2 2" xfId="2985"/>
    <cellStyle name="Обычный 3 10 7 2 2 3" xfId="1979"/>
    <cellStyle name="Обычный 3 10 7 2 3" xfId="2521"/>
    <cellStyle name="Обычный 3 10 7 2 4" xfId="1515"/>
    <cellStyle name="Обычный 3 10 7 3" xfId="715"/>
    <cellStyle name="Обычный 3 10 7 3 2" xfId="2753"/>
    <cellStyle name="Обычный 3 10 7 3 3" xfId="1747"/>
    <cellStyle name="Обычный 3 10 7 4" xfId="2289"/>
    <cellStyle name="Обычный 3 10 7 5" xfId="1283"/>
    <cellStyle name="Обычный 3 10 8" xfId="277"/>
    <cellStyle name="Обычный 3 10 8 2" xfId="509"/>
    <cellStyle name="Обычный 3 10 8 2 2" xfId="973"/>
    <cellStyle name="Обычный 3 10 8 2 2 2" xfId="3011"/>
    <cellStyle name="Обычный 3 10 8 2 2 3" xfId="2005"/>
    <cellStyle name="Обычный 3 10 8 2 3" xfId="2547"/>
    <cellStyle name="Обычный 3 10 8 2 4" xfId="1541"/>
    <cellStyle name="Обычный 3 10 8 3" xfId="741"/>
    <cellStyle name="Обычный 3 10 8 3 2" xfId="2779"/>
    <cellStyle name="Обычный 3 10 8 3 3" xfId="1773"/>
    <cellStyle name="Обычный 3 10 8 4" xfId="2315"/>
    <cellStyle name="Обычный 3 10 8 5" xfId="1309"/>
    <cellStyle name="Обычный 3 10 9" xfId="303"/>
    <cellStyle name="Обычный 3 10 9 2" xfId="535"/>
    <cellStyle name="Обычный 3 10 9 2 2" xfId="999"/>
    <cellStyle name="Обычный 3 10 9 2 2 2" xfId="3037"/>
    <cellStyle name="Обычный 3 10 9 2 2 3" xfId="2031"/>
    <cellStyle name="Обычный 3 10 9 2 3" xfId="2573"/>
    <cellStyle name="Обычный 3 10 9 2 4" xfId="1567"/>
    <cellStyle name="Обычный 3 10 9 3" xfId="767"/>
    <cellStyle name="Обычный 3 10 9 3 2" xfId="2805"/>
    <cellStyle name="Обычный 3 10 9 3 3" xfId="1799"/>
    <cellStyle name="Обычный 3 10 9 4" xfId="2341"/>
    <cellStyle name="Обычный 3 10 9 5" xfId="1335"/>
    <cellStyle name="Обычный 3 11" xfId="72"/>
    <cellStyle name="Обычный 3 11 10" xfId="329"/>
    <cellStyle name="Обычный 3 11 10 2" xfId="793"/>
    <cellStyle name="Обычный 3 11 10 2 2" xfId="2831"/>
    <cellStyle name="Обычный 3 11 10 2 3" xfId="1825"/>
    <cellStyle name="Обычный 3 11 10 3" xfId="2367"/>
    <cellStyle name="Обычный 3 11 10 4" xfId="1361"/>
    <cellStyle name="Обычный 3 11 11" xfId="561"/>
    <cellStyle name="Обычный 3 11 11 2" xfId="2599"/>
    <cellStyle name="Обычный 3 11 11 3" xfId="1593"/>
    <cellStyle name="Обычный 3 11 12" xfId="1027"/>
    <cellStyle name="Обычный 3 11 12 2" xfId="3065"/>
    <cellStyle name="Обычный 3 11 12 3" xfId="2059"/>
    <cellStyle name="Обычный 3 11 13" xfId="1053"/>
    <cellStyle name="Обычный 3 11 13 2" xfId="3091"/>
    <cellStyle name="Обычный 3 11 13 3" xfId="2085"/>
    <cellStyle name="Обычный 3 11 14" xfId="96"/>
    <cellStyle name="Обычный 3 11 14 2" xfId="2135"/>
    <cellStyle name="Обычный 3 11 15" xfId="1079"/>
    <cellStyle name="Обычный 3 11 15 2" xfId="3117"/>
    <cellStyle name="Обычный 3 11 16" xfId="2111"/>
    <cellStyle name="Обычный 3 11 17" xfId="1129"/>
    <cellStyle name="Обычный 3 11 2" xfId="123"/>
    <cellStyle name="Обычный 3 11 2 2" xfId="355"/>
    <cellStyle name="Обычный 3 11 2 2 2" xfId="819"/>
    <cellStyle name="Обычный 3 11 2 2 2 2" xfId="2857"/>
    <cellStyle name="Обычный 3 11 2 2 2 3" xfId="1851"/>
    <cellStyle name="Обычный 3 11 2 2 3" xfId="2393"/>
    <cellStyle name="Обычный 3 11 2 2 4" xfId="1387"/>
    <cellStyle name="Обычный 3 11 2 3" xfId="587"/>
    <cellStyle name="Обычный 3 11 2 3 2" xfId="2625"/>
    <cellStyle name="Обычный 3 11 2 3 3" xfId="1619"/>
    <cellStyle name="Обычный 3 11 2 4" xfId="1105"/>
    <cellStyle name="Обычный 3 11 2 4 2" xfId="3143"/>
    <cellStyle name="Обычный 3 11 2 5" xfId="2161"/>
    <cellStyle name="Обычный 3 11 2 6" xfId="1155"/>
    <cellStyle name="Обычный 3 11 3" xfId="149"/>
    <cellStyle name="Обычный 3 11 3 2" xfId="381"/>
    <cellStyle name="Обычный 3 11 3 2 2" xfId="845"/>
    <cellStyle name="Обычный 3 11 3 2 2 2" xfId="2883"/>
    <cellStyle name="Обычный 3 11 3 2 2 3" xfId="1877"/>
    <cellStyle name="Обычный 3 11 3 2 3" xfId="2419"/>
    <cellStyle name="Обычный 3 11 3 2 4" xfId="1413"/>
    <cellStyle name="Обычный 3 11 3 3" xfId="613"/>
    <cellStyle name="Обычный 3 11 3 3 2" xfId="2651"/>
    <cellStyle name="Обычный 3 11 3 3 3" xfId="1645"/>
    <cellStyle name="Обычный 3 11 3 4" xfId="2187"/>
    <cellStyle name="Обычный 3 11 3 5" xfId="1181"/>
    <cellStyle name="Обычный 3 11 4" xfId="175"/>
    <cellStyle name="Обычный 3 11 4 2" xfId="407"/>
    <cellStyle name="Обычный 3 11 4 2 2" xfId="871"/>
    <cellStyle name="Обычный 3 11 4 2 2 2" xfId="2909"/>
    <cellStyle name="Обычный 3 11 4 2 2 3" xfId="1903"/>
    <cellStyle name="Обычный 3 11 4 2 3" xfId="2445"/>
    <cellStyle name="Обычный 3 11 4 2 4" xfId="1439"/>
    <cellStyle name="Обычный 3 11 4 3" xfId="639"/>
    <cellStyle name="Обычный 3 11 4 3 2" xfId="2677"/>
    <cellStyle name="Обычный 3 11 4 3 3" xfId="1671"/>
    <cellStyle name="Обычный 3 11 4 4" xfId="2213"/>
    <cellStyle name="Обычный 3 11 4 5" xfId="1207"/>
    <cellStyle name="Обычный 3 11 5" xfId="201"/>
    <cellStyle name="Обычный 3 11 5 2" xfId="433"/>
    <cellStyle name="Обычный 3 11 5 2 2" xfId="897"/>
    <cellStyle name="Обычный 3 11 5 2 2 2" xfId="2935"/>
    <cellStyle name="Обычный 3 11 5 2 2 3" xfId="1929"/>
    <cellStyle name="Обычный 3 11 5 2 3" xfId="2471"/>
    <cellStyle name="Обычный 3 11 5 2 4" xfId="1465"/>
    <cellStyle name="Обычный 3 11 5 3" xfId="665"/>
    <cellStyle name="Обычный 3 11 5 3 2" xfId="2703"/>
    <cellStyle name="Обычный 3 11 5 3 3" xfId="1697"/>
    <cellStyle name="Обычный 3 11 5 4" xfId="2239"/>
    <cellStyle name="Обычный 3 11 5 5" xfId="1233"/>
    <cellStyle name="Обычный 3 11 6" xfId="227"/>
    <cellStyle name="Обычный 3 11 6 2" xfId="459"/>
    <cellStyle name="Обычный 3 11 6 2 2" xfId="923"/>
    <cellStyle name="Обычный 3 11 6 2 2 2" xfId="2961"/>
    <cellStyle name="Обычный 3 11 6 2 2 3" xfId="1955"/>
    <cellStyle name="Обычный 3 11 6 2 3" xfId="2497"/>
    <cellStyle name="Обычный 3 11 6 2 4" xfId="1491"/>
    <cellStyle name="Обычный 3 11 6 3" xfId="691"/>
    <cellStyle name="Обычный 3 11 6 3 2" xfId="2729"/>
    <cellStyle name="Обычный 3 11 6 3 3" xfId="1723"/>
    <cellStyle name="Обычный 3 11 6 4" xfId="2265"/>
    <cellStyle name="Обычный 3 11 6 5" xfId="1259"/>
    <cellStyle name="Обычный 3 11 7" xfId="253"/>
    <cellStyle name="Обычный 3 11 7 2" xfId="485"/>
    <cellStyle name="Обычный 3 11 7 2 2" xfId="949"/>
    <cellStyle name="Обычный 3 11 7 2 2 2" xfId="2987"/>
    <cellStyle name="Обычный 3 11 7 2 2 3" xfId="1981"/>
    <cellStyle name="Обычный 3 11 7 2 3" xfId="2523"/>
    <cellStyle name="Обычный 3 11 7 2 4" xfId="1517"/>
    <cellStyle name="Обычный 3 11 7 3" xfId="717"/>
    <cellStyle name="Обычный 3 11 7 3 2" xfId="2755"/>
    <cellStyle name="Обычный 3 11 7 3 3" xfId="1749"/>
    <cellStyle name="Обычный 3 11 7 4" xfId="2291"/>
    <cellStyle name="Обычный 3 11 7 5" xfId="1285"/>
    <cellStyle name="Обычный 3 11 8" xfId="279"/>
    <cellStyle name="Обычный 3 11 8 2" xfId="511"/>
    <cellStyle name="Обычный 3 11 8 2 2" xfId="975"/>
    <cellStyle name="Обычный 3 11 8 2 2 2" xfId="3013"/>
    <cellStyle name="Обычный 3 11 8 2 2 3" xfId="2007"/>
    <cellStyle name="Обычный 3 11 8 2 3" xfId="2549"/>
    <cellStyle name="Обычный 3 11 8 2 4" xfId="1543"/>
    <cellStyle name="Обычный 3 11 8 3" xfId="743"/>
    <cellStyle name="Обычный 3 11 8 3 2" xfId="2781"/>
    <cellStyle name="Обычный 3 11 8 3 3" xfId="1775"/>
    <cellStyle name="Обычный 3 11 8 4" xfId="2317"/>
    <cellStyle name="Обычный 3 11 8 5" xfId="1311"/>
    <cellStyle name="Обычный 3 11 9" xfId="305"/>
    <cellStyle name="Обычный 3 11 9 2" xfId="537"/>
    <cellStyle name="Обычный 3 11 9 2 2" xfId="1001"/>
    <cellStyle name="Обычный 3 11 9 2 2 2" xfId="3039"/>
    <cellStyle name="Обычный 3 11 9 2 2 3" xfId="2033"/>
    <cellStyle name="Обычный 3 11 9 2 3" xfId="2575"/>
    <cellStyle name="Обычный 3 11 9 2 4" xfId="1569"/>
    <cellStyle name="Обычный 3 11 9 3" xfId="769"/>
    <cellStyle name="Обычный 3 11 9 3 2" xfId="2807"/>
    <cellStyle name="Обычный 3 11 9 3 3" xfId="1801"/>
    <cellStyle name="Обычный 3 11 9 4" xfId="2343"/>
    <cellStyle name="Обычный 3 11 9 5" xfId="1337"/>
    <cellStyle name="Обычный 3 12" xfId="74"/>
    <cellStyle name="Обычный 3 12 10" xfId="331"/>
    <cellStyle name="Обычный 3 12 10 2" xfId="795"/>
    <cellStyle name="Обычный 3 12 10 2 2" xfId="2833"/>
    <cellStyle name="Обычный 3 12 10 2 3" xfId="1827"/>
    <cellStyle name="Обычный 3 12 10 3" xfId="2369"/>
    <cellStyle name="Обычный 3 12 10 4" xfId="1363"/>
    <cellStyle name="Обычный 3 12 11" xfId="563"/>
    <cellStyle name="Обычный 3 12 11 2" xfId="2601"/>
    <cellStyle name="Обычный 3 12 11 3" xfId="1595"/>
    <cellStyle name="Обычный 3 12 12" xfId="1029"/>
    <cellStyle name="Обычный 3 12 12 2" xfId="3067"/>
    <cellStyle name="Обычный 3 12 12 3" xfId="2061"/>
    <cellStyle name="Обычный 3 12 13" xfId="1055"/>
    <cellStyle name="Обычный 3 12 13 2" xfId="3093"/>
    <cellStyle name="Обычный 3 12 13 3" xfId="2087"/>
    <cellStyle name="Обычный 3 12 14" xfId="98"/>
    <cellStyle name="Обычный 3 12 14 2" xfId="2137"/>
    <cellStyle name="Обычный 3 12 15" xfId="1081"/>
    <cellStyle name="Обычный 3 12 15 2" xfId="3119"/>
    <cellStyle name="Обычный 3 12 16" xfId="2113"/>
    <cellStyle name="Обычный 3 12 17" xfId="1131"/>
    <cellStyle name="Обычный 3 12 2" xfId="125"/>
    <cellStyle name="Обычный 3 12 2 2" xfId="357"/>
    <cellStyle name="Обычный 3 12 2 2 2" xfId="821"/>
    <cellStyle name="Обычный 3 12 2 2 2 2" xfId="2859"/>
    <cellStyle name="Обычный 3 12 2 2 2 3" xfId="1853"/>
    <cellStyle name="Обычный 3 12 2 2 3" xfId="2395"/>
    <cellStyle name="Обычный 3 12 2 2 4" xfId="1389"/>
    <cellStyle name="Обычный 3 12 2 3" xfId="589"/>
    <cellStyle name="Обычный 3 12 2 3 2" xfId="2627"/>
    <cellStyle name="Обычный 3 12 2 3 3" xfId="1621"/>
    <cellStyle name="Обычный 3 12 2 4" xfId="1107"/>
    <cellStyle name="Обычный 3 12 2 4 2" xfId="3145"/>
    <cellStyle name="Обычный 3 12 2 5" xfId="2163"/>
    <cellStyle name="Обычный 3 12 2 6" xfId="1157"/>
    <cellStyle name="Обычный 3 12 3" xfId="151"/>
    <cellStyle name="Обычный 3 12 3 2" xfId="383"/>
    <cellStyle name="Обычный 3 12 3 2 2" xfId="847"/>
    <cellStyle name="Обычный 3 12 3 2 2 2" xfId="2885"/>
    <cellStyle name="Обычный 3 12 3 2 2 3" xfId="1879"/>
    <cellStyle name="Обычный 3 12 3 2 3" xfId="2421"/>
    <cellStyle name="Обычный 3 12 3 2 4" xfId="1415"/>
    <cellStyle name="Обычный 3 12 3 3" xfId="615"/>
    <cellStyle name="Обычный 3 12 3 3 2" xfId="2653"/>
    <cellStyle name="Обычный 3 12 3 3 3" xfId="1647"/>
    <cellStyle name="Обычный 3 12 3 4" xfId="2189"/>
    <cellStyle name="Обычный 3 12 3 5" xfId="1183"/>
    <cellStyle name="Обычный 3 12 4" xfId="177"/>
    <cellStyle name="Обычный 3 12 4 2" xfId="409"/>
    <cellStyle name="Обычный 3 12 4 2 2" xfId="873"/>
    <cellStyle name="Обычный 3 12 4 2 2 2" xfId="2911"/>
    <cellStyle name="Обычный 3 12 4 2 2 3" xfId="1905"/>
    <cellStyle name="Обычный 3 12 4 2 3" xfId="2447"/>
    <cellStyle name="Обычный 3 12 4 2 4" xfId="1441"/>
    <cellStyle name="Обычный 3 12 4 3" xfId="641"/>
    <cellStyle name="Обычный 3 12 4 3 2" xfId="2679"/>
    <cellStyle name="Обычный 3 12 4 3 3" xfId="1673"/>
    <cellStyle name="Обычный 3 12 4 4" xfId="2215"/>
    <cellStyle name="Обычный 3 12 4 5" xfId="1209"/>
    <cellStyle name="Обычный 3 12 5" xfId="203"/>
    <cellStyle name="Обычный 3 12 5 2" xfId="435"/>
    <cellStyle name="Обычный 3 12 5 2 2" xfId="899"/>
    <cellStyle name="Обычный 3 12 5 2 2 2" xfId="2937"/>
    <cellStyle name="Обычный 3 12 5 2 2 3" xfId="1931"/>
    <cellStyle name="Обычный 3 12 5 2 3" xfId="2473"/>
    <cellStyle name="Обычный 3 12 5 2 4" xfId="1467"/>
    <cellStyle name="Обычный 3 12 5 3" xfId="667"/>
    <cellStyle name="Обычный 3 12 5 3 2" xfId="2705"/>
    <cellStyle name="Обычный 3 12 5 3 3" xfId="1699"/>
    <cellStyle name="Обычный 3 12 5 4" xfId="2241"/>
    <cellStyle name="Обычный 3 12 5 5" xfId="1235"/>
    <cellStyle name="Обычный 3 12 6" xfId="229"/>
    <cellStyle name="Обычный 3 12 6 2" xfId="461"/>
    <cellStyle name="Обычный 3 12 6 2 2" xfId="925"/>
    <cellStyle name="Обычный 3 12 6 2 2 2" xfId="2963"/>
    <cellStyle name="Обычный 3 12 6 2 2 3" xfId="1957"/>
    <cellStyle name="Обычный 3 12 6 2 3" xfId="2499"/>
    <cellStyle name="Обычный 3 12 6 2 4" xfId="1493"/>
    <cellStyle name="Обычный 3 12 6 3" xfId="693"/>
    <cellStyle name="Обычный 3 12 6 3 2" xfId="2731"/>
    <cellStyle name="Обычный 3 12 6 3 3" xfId="1725"/>
    <cellStyle name="Обычный 3 12 6 4" xfId="2267"/>
    <cellStyle name="Обычный 3 12 6 5" xfId="1261"/>
    <cellStyle name="Обычный 3 12 7" xfId="255"/>
    <cellStyle name="Обычный 3 12 7 2" xfId="487"/>
    <cellStyle name="Обычный 3 12 7 2 2" xfId="951"/>
    <cellStyle name="Обычный 3 12 7 2 2 2" xfId="2989"/>
    <cellStyle name="Обычный 3 12 7 2 2 3" xfId="1983"/>
    <cellStyle name="Обычный 3 12 7 2 3" xfId="2525"/>
    <cellStyle name="Обычный 3 12 7 2 4" xfId="1519"/>
    <cellStyle name="Обычный 3 12 7 3" xfId="719"/>
    <cellStyle name="Обычный 3 12 7 3 2" xfId="2757"/>
    <cellStyle name="Обычный 3 12 7 3 3" xfId="1751"/>
    <cellStyle name="Обычный 3 12 7 4" xfId="2293"/>
    <cellStyle name="Обычный 3 12 7 5" xfId="1287"/>
    <cellStyle name="Обычный 3 12 8" xfId="281"/>
    <cellStyle name="Обычный 3 12 8 2" xfId="513"/>
    <cellStyle name="Обычный 3 12 8 2 2" xfId="977"/>
    <cellStyle name="Обычный 3 12 8 2 2 2" xfId="3015"/>
    <cellStyle name="Обычный 3 12 8 2 2 3" xfId="2009"/>
    <cellStyle name="Обычный 3 12 8 2 3" xfId="2551"/>
    <cellStyle name="Обычный 3 12 8 2 4" xfId="1545"/>
    <cellStyle name="Обычный 3 12 8 3" xfId="745"/>
    <cellStyle name="Обычный 3 12 8 3 2" xfId="2783"/>
    <cellStyle name="Обычный 3 12 8 3 3" xfId="1777"/>
    <cellStyle name="Обычный 3 12 8 4" xfId="2319"/>
    <cellStyle name="Обычный 3 12 8 5" xfId="1313"/>
    <cellStyle name="Обычный 3 12 9" xfId="307"/>
    <cellStyle name="Обычный 3 12 9 2" xfId="539"/>
    <cellStyle name="Обычный 3 12 9 2 2" xfId="1003"/>
    <cellStyle name="Обычный 3 12 9 2 2 2" xfId="3041"/>
    <cellStyle name="Обычный 3 12 9 2 2 3" xfId="2035"/>
    <cellStyle name="Обычный 3 12 9 2 3" xfId="2577"/>
    <cellStyle name="Обычный 3 12 9 2 4" xfId="1571"/>
    <cellStyle name="Обычный 3 12 9 3" xfId="771"/>
    <cellStyle name="Обычный 3 12 9 3 2" xfId="2809"/>
    <cellStyle name="Обычный 3 12 9 3 3" xfId="1803"/>
    <cellStyle name="Обычный 3 12 9 4" xfId="2345"/>
    <cellStyle name="Обычный 3 12 9 5" xfId="1339"/>
    <cellStyle name="Обычный 3 13" xfId="49"/>
    <cellStyle name="Обычный 3 13 10" xfId="567"/>
    <cellStyle name="Обычный 3 13 10 2" xfId="2605"/>
    <cellStyle name="Обычный 3 13 10 3" xfId="1599"/>
    <cellStyle name="Обычный 3 13 11" xfId="1007"/>
    <cellStyle name="Обычный 3 13 11 2" xfId="3045"/>
    <cellStyle name="Обычный 3 13 11 3" xfId="2039"/>
    <cellStyle name="Обычный 3 13 12" xfId="1033"/>
    <cellStyle name="Обычный 3 13 12 2" xfId="3071"/>
    <cellStyle name="Обычный 3 13 12 3" xfId="2065"/>
    <cellStyle name="Обычный 3 13 13" xfId="103"/>
    <cellStyle name="Обычный 3 13 13 2" xfId="2141"/>
    <cellStyle name="Обычный 3 13 14" xfId="1059"/>
    <cellStyle name="Обычный 3 13 14 2" xfId="3097"/>
    <cellStyle name="Обычный 3 13 15" xfId="2091"/>
    <cellStyle name="Обычный 3 13 16" xfId="1135"/>
    <cellStyle name="Обычный 3 13 2" xfId="129"/>
    <cellStyle name="Обычный 3 13 2 2" xfId="361"/>
    <cellStyle name="Обычный 3 13 2 2 2" xfId="825"/>
    <cellStyle name="Обычный 3 13 2 2 2 2" xfId="2863"/>
    <cellStyle name="Обычный 3 13 2 2 2 3" xfId="1857"/>
    <cellStyle name="Обычный 3 13 2 2 3" xfId="2399"/>
    <cellStyle name="Обычный 3 13 2 2 4" xfId="1393"/>
    <cellStyle name="Обычный 3 13 2 3" xfId="593"/>
    <cellStyle name="Обычный 3 13 2 3 2" xfId="2631"/>
    <cellStyle name="Обычный 3 13 2 3 3" xfId="1625"/>
    <cellStyle name="Обычный 3 13 2 4" xfId="1085"/>
    <cellStyle name="Обычный 3 13 2 4 2" xfId="3123"/>
    <cellStyle name="Обычный 3 13 2 5" xfId="2167"/>
    <cellStyle name="Обычный 3 13 2 6" xfId="1161"/>
    <cellStyle name="Обычный 3 13 3" xfId="155"/>
    <cellStyle name="Обычный 3 13 3 2" xfId="387"/>
    <cellStyle name="Обычный 3 13 3 2 2" xfId="851"/>
    <cellStyle name="Обычный 3 13 3 2 2 2" xfId="2889"/>
    <cellStyle name="Обычный 3 13 3 2 2 3" xfId="1883"/>
    <cellStyle name="Обычный 3 13 3 2 3" xfId="2425"/>
    <cellStyle name="Обычный 3 13 3 2 4" xfId="1419"/>
    <cellStyle name="Обычный 3 13 3 3" xfId="619"/>
    <cellStyle name="Обычный 3 13 3 3 2" xfId="2657"/>
    <cellStyle name="Обычный 3 13 3 3 3" xfId="1651"/>
    <cellStyle name="Обычный 3 13 3 4" xfId="2193"/>
    <cellStyle name="Обычный 3 13 3 5" xfId="1187"/>
    <cellStyle name="Обычный 3 13 4" xfId="181"/>
    <cellStyle name="Обычный 3 13 4 2" xfId="413"/>
    <cellStyle name="Обычный 3 13 4 2 2" xfId="877"/>
    <cellStyle name="Обычный 3 13 4 2 2 2" xfId="2915"/>
    <cellStyle name="Обычный 3 13 4 2 2 3" xfId="1909"/>
    <cellStyle name="Обычный 3 13 4 2 3" xfId="2451"/>
    <cellStyle name="Обычный 3 13 4 2 4" xfId="1445"/>
    <cellStyle name="Обычный 3 13 4 3" xfId="645"/>
    <cellStyle name="Обычный 3 13 4 3 2" xfId="2683"/>
    <cellStyle name="Обычный 3 13 4 3 3" xfId="1677"/>
    <cellStyle name="Обычный 3 13 4 4" xfId="2219"/>
    <cellStyle name="Обычный 3 13 4 5" xfId="1213"/>
    <cellStyle name="Обычный 3 13 5" xfId="207"/>
    <cellStyle name="Обычный 3 13 5 2" xfId="439"/>
    <cellStyle name="Обычный 3 13 5 2 2" xfId="903"/>
    <cellStyle name="Обычный 3 13 5 2 2 2" xfId="2941"/>
    <cellStyle name="Обычный 3 13 5 2 2 3" xfId="1935"/>
    <cellStyle name="Обычный 3 13 5 2 3" xfId="2477"/>
    <cellStyle name="Обычный 3 13 5 2 4" xfId="1471"/>
    <cellStyle name="Обычный 3 13 5 3" xfId="671"/>
    <cellStyle name="Обычный 3 13 5 3 2" xfId="2709"/>
    <cellStyle name="Обычный 3 13 5 3 3" xfId="1703"/>
    <cellStyle name="Обычный 3 13 5 4" xfId="2245"/>
    <cellStyle name="Обычный 3 13 5 5" xfId="1239"/>
    <cellStyle name="Обычный 3 13 6" xfId="233"/>
    <cellStyle name="Обычный 3 13 6 2" xfId="465"/>
    <cellStyle name="Обычный 3 13 6 2 2" xfId="929"/>
    <cellStyle name="Обычный 3 13 6 2 2 2" xfId="2967"/>
    <cellStyle name="Обычный 3 13 6 2 2 3" xfId="1961"/>
    <cellStyle name="Обычный 3 13 6 2 3" xfId="2503"/>
    <cellStyle name="Обычный 3 13 6 2 4" xfId="1497"/>
    <cellStyle name="Обычный 3 13 6 3" xfId="697"/>
    <cellStyle name="Обычный 3 13 6 3 2" xfId="2735"/>
    <cellStyle name="Обычный 3 13 6 3 3" xfId="1729"/>
    <cellStyle name="Обычный 3 13 6 4" xfId="2271"/>
    <cellStyle name="Обычный 3 13 6 5" xfId="1265"/>
    <cellStyle name="Обычный 3 13 7" xfId="259"/>
    <cellStyle name="Обычный 3 13 7 2" xfId="491"/>
    <cellStyle name="Обычный 3 13 7 2 2" xfId="955"/>
    <cellStyle name="Обычный 3 13 7 2 2 2" xfId="2993"/>
    <cellStyle name="Обычный 3 13 7 2 2 3" xfId="1987"/>
    <cellStyle name="Обычный 3 13 7 2 3" xfId="2529"/>
    <cellStyle name="Обычный 3 13 7 2 4" xfId="1523"/>
    <cellStyle name="Обычный 3 13 7 3" xfId="723"/>
    <cellStyle name="Обычный 3 13 7 3 2" xfId="2761"/>
    <cellStyle name="Обычный 3 13 7 3 3" xfId="1755"/>
    <cellStyle name="Обычный 3 13 7 4" xfId="2297"/>
    <cellStyle name="Обычный 3 13 7 5" xfId="1291"/>
    <cellStyle name="Обычный 3 13 8" xfId="285"/>
    <cellStyle name="Обычный 3 13 8 2" xfId="517"/>
    <cellStyle name="Обычный 3 13 8 2 2" xfId="981"/>
    <cellStyle name="Обычный 3 13 8 2 2 2" xfId="3019"/>
    <cellStyle name="Обычный 3 13 8 2 2 3" xfId="2013"/>
    <cellStyle name="Обычный 3 13 8 2 3" xfId="2555"/>
    <cellStyle name="Обычный 3 13 8 2 4" xfId="1549"/>
    <cellStyle name="Обычный 3 13 8 3" xfId="749"/>
    <cellStyle name="Обычный 3 13 8 3 2" xfId="2787"/>
    <cellStyle name="Обычный 3 13 8 3 3" xfId="1781"/>
    <cellStyle name="Обычный 3 13 8 4" xfId="2323"/>
    <cellStyle name="Обычный 3 13 8 5" xfId="1317"/>
    <cellStyle name="Обычный 3 13 9" xfId="335"/>
    <cellStyle name="Обычный 3 13 9 2" xfId="799"/>
    <cellStyle name="Обычный 3 13 9 2 2" xfId="2837"/>
    <cellStyle name="Обычный 3 13 9 2 3" xfId="1831"/>
    <cellStyle name="Обычный 3 13 9 3" xfId="2373"/>
    <cellStyle name="Обычный 3 13 9 4" xfId="1367"/>
    <cellStyle name="Обычный 3 14" xfId="100"/>
    <cellStyle name="Обычный 3 14 2" xfId="333"/>
    <cellStyle name="Обычный 3 14 2 2" xfId="797"/>
    <cellStyle name="Обычный 3 14 2 2 2" xfId="2835"/>
    <cellStyle name="Обычный 3 14 2 2 3" xfId="1829"/>
    <cellStyle name="Обычный 3 14 2 3" xfId="2371"/>
    <cellStyle name="Обычный 3 14 2 4" xfId="1365"/>
    <cellStyle name="Обычный 3 14 3" xfId="565"/>
    <cellStyle name="Обычный 3 14 3 2" xfId="2603"/>
    <cellStyle name="Обычный 3 14 3 3" xfId="1597"/>
    <cellStyle name="Обычный 3 14 4" xfId="1083"/>
    <cellStyle name="Обычный 3 14 4 2" xfId="3121"/>
    <cellStyle name="Обычный 3 14 5" xfId="2139"/>
    <cellStyle name="Обычный 3 14 6" xfId="1133"/>
    <cellStyle name="Обычный 3 15" xfId="127"/>
    <cellStyle name="Обычный 3 15 2" xfId="359"/>
    <cellStyle name="Обычный 3 15 2 2" xfId="823"/>
    <cellStyle name="Обычный 3 15 2 2 2" xfId="2861"/>
    <cellStyle name="Обычный 3 15 2 2 3" xfId="1855"/>
    <cellStyle name="Обычный 3 15 2 3" xfId="2397"/>
    <cellStyle name="Обычный 3 15 2 4" xfId="1391"/>
    <cellStyle name="Обычный 3 15 3" xfId="591"/>
    <cellStyle name="Обычный 3 15 3 2" xfId="2629"/>
    <cellStyle name="Обычный 3 15 3 3" xfId="1623"/>
    <cellStyle name="Обычный 3 15 4" xfId="2165"/>
    <cellStyle name="Обычный 3 15 5" xfId="1159"/>
    <cellStyle name="Обычный 3 16" xfId="153"/>
    <cellStyle name="Обычный 3 16 2" xfId="385"/>
    <cellStyle name="Обычный 3 16 2 2" xfId="849"/>
    <cellStyle name="Обычный 3 16 2 2 2" xfId="2887"/>
    <cellStyle name="Обычный 3 16 2 2 3" xfId="1881"/>
    <cellStyle name="Обычный 3 16 2 3" xfId="2423"/>
    <cellStyle name="Обычный 3 16 2 4" xfId="1417"/>
    <cellStyle name="Обычный 3 16 3" xfId="617"/>
    <cellStyle name="Обычный 3 16 3 2" xfId="2655"/>
    <cellStyle name="Обычный 3 16 3 3" xfId="1649"/>
    <cellStyle name="Обычный 3 16 4" xfId="2191"/>
    <cellStyle name="Обычный 3 16 5" xfId="1185"/>
    <cellStyle name="Обычный 3 17" xfId="179"/>
    <cellStyle name="Обычный 3 17 2" xfId="411"/>
    <cellStyle name="Обычный 3 17 2 2" xfId="875"/>
    <cellStyle name="Обычный 3 17 2 2 2" xfId="2913"/>
    <cellStyle name="Обычный 3 17 2 2 3" xfId="1907"/>
    <cellStyle name="Обычный 3 17 2 3" xfId="2449"/>
    <cellStyle name="Обычный 3 17 2 4" xfId="1443"/>
    <cellStyle name="Обычный 3 17 3" xfId="643"/>
    <cellStyle name="Обычный 3 17 3 2" xfId="2681"/>
    <cellStyle name="Обычный 3 17 3 3" xfId="1675"/>
    <cellStyle name="Обычный 3 17 4" xfId="2217"/>
    <cellStyle name="Обычный 3 17 5" xfId="1211"/>
    <cellStyle name="Обычный 3 18" xfId="205"/>
    <cellStyle name="Обычный 3 18 2" xfId="437"/>
    <cellStyle name="Обычный 3 18 2 2" xfId="901"/>
    <cellStyle name="Обычный 3 18 2 2 2" xfId="2939"/>
    <cellStyle name="Обычный 3 18 2 2 3" xfId="1933"/>
    <cellStyle name="Обычный 3 18 2 3" xfId="2475"/>
    <cellStyle name="Обычный 3 18 2 4" xfId="1469"/>
    <cellStyle name="Обычный 3 18 3" xfId="669"/>
    <cellStyle name="Обычный 3 18 3 2" xfId="2707"/>
    <cellStyle name="Обычный 3 18 3 3" xfId="1701"/>
    <cellStyle name="Обычный 3 18 4" xfId="2243"/>
    <cellStyle name="Обычный 3 18 5" xfId="1237"/>
    <cellStyle name="Обычный 3 19" xfId="231"/>
    <cellStyle name="Обычный 3 19 2" xfId="463"/>
    <cellStyle name="Обычный 3 19 2 2" xfId="927"/>
    <cellStyle name="Обычный 3 19 2 2 2" xfId="2965"/>
    <cellStyle name="Обычный 3 19 2 2 3" xfId="1959"/>
    <cellStyle name="Обычный 3 19 2 3" xfId="2501"/>
    <cellStyle name="Обычный 3 19 2 4" xfId="1495"/>
    <cellStyle name="Обычный 3 19 3" xfId="695"/>
    <cellStyle name="Обычный 3 19 3 2" xfId="2733"/>
    <cellStyle name="Обычный 3 19 3 3" xfId="1727"/>
    <cellStyle name="Обычный 3 19 4" xfId="2269"/>
    <cellStyle name="Обычный 3 19 5" xfId="1263"/>
    <cellStyle name="Обычный 3 2" xfId="53"/>
    <cellStyle name="Обычный 3 2 10" xfId="311"/>
    <cellStyle name="Обычный 3 2 10 2" xfId="775"/>
    <cellStyle name="Обычный 3 2 10 2 2" xfId="2813"/>
    <cellStyle name="Обычный 3 2 10 2 3" xfId="1807"/>
    <cellStyle name="Обычный 3 2 10 3" xfId="2349"/>
    <cellStyle name="Обычный 3 2 10 4" xfId="1343"/>
    <cellStyle name="Обычный 3 2 11" xfId="543"/>
    <cellStyle name="Обычный 3 2 11 2" xfId="2581"/>
    <cellStyle name="Обычный 3 2 11 3" xfId="1575"/>
    <cellStyle name="Обычный 3 2 12" xfId="1009"/>
    <cellStyle name="Обычный 3 2 12 2" xfId="3047"/>
    <cellStyle name="Обычный 3 2 12 3" xfId="2041"/>
    <cellStyle name="Обычный 3 2 13" xfId="1035"/>
    <cellStyle name="Обычный 3 2 13 2" xfId="3073"/>
    <cellStyle name="Обычный 3 2 13 3" xfId="2067"/>
    <cellStyle name="Обычный 3 2 14" xfId="78"/>
    <cellStyle name="Обычный 3 2 14 2" xfId="2117"/>
    <cellStyle name="Обычный 3 2 15" xfId="1061"/>
    <cellStyle name="Обычный 3 2 15 2" xfId="3099"/>
    <cellStyle name="Обычный 3 2 16" xfId="2093"/>
    <cellStyle name="Обычный 3 2 17" xfId="1111"/>
    <cellStyle name="Обычный 3 2 2" xfId="105"/>
    <cellStyle name="Обычный 3 2 2 2" xfId="337"/>
    <cellStyle name="Обычный 3 2 2 2 2" xfId="801"/>
    <cellStyle name="Обычный 3 2 2 2 2 2" xfId="2839"/>
    <cellStyle name="Обычный 3 2 2 2 2 3" xfId="1833"/>
    <cellStyle name="Обычный 3 2 2 2 3" xfId="2375"/>
    <cellStyle name="Обычный 3 2 2 2 4" xfId="1369"/>
    <cellStyle name="Обычный 3 2 2 3" xfId="569"/>
    <cellStyle name="Обычный 3 2 2 3 2" xfId="2607"/>
    <cellStyle name="Обычный 3 2 2 3 3" xfId="1601"/>
    <cellStyle name="Обычный 3 2 2 4" xfId="1087"/>
    <cellStyle name="Обычный 3 2 2 4 2" xfId="3125"/>
    <cellStyle name="Обычный 3 2 2 5" xfId="2143"/>
    <cellStyle name="Обычный 3 2 2 6" xfId="1137"/>
    <cellStyle name="Обычный 3 2 3" xfId="131"/>
    <cellStyle name="Обычный 3 2 3 2" xfId="363"/>
    <cellStyle name="Обычный 3 2 3 2 2" xfId="827"/>
    <cellStyle name="Обычный 3 2 3 2 2 2" xfId="2865"/>
    <cellStyle name="Обычный 3 2 3 2 2 3" xfId="1859"/>
    <cellStyle name="Обычный 3 2 3 2 3" xfId="2401"/>
    <cellStyle name="Обычный 3 2 3 2 4" xfId="1395"/>
    <cellStyle name="Обычный 3 2 3 3" xfId="595"/>
    <cellStyle name="Обычный 3 2 3 3 2" xfId="2633"/>
    <cellStyle name="Обычный 3 2 3 3 3" xfId="1627"/>
    <cellStyle name="Обычный 3 2 3 4" xfId="2169"/>
    <cellStyle name="Обычный 3 2 3 5" xfId="1163"/>
    <cellStyle name="Обычный 3 2 4" xfId="157"/>
    <cellStyle name="Обычный 3 2 4 2" xfId="389"/>
    <cellStyle name="Обычный 3 2 4 2 2" xfId="853"/>
    <cellStyle name="Обычный 3 2 4 2 2 2" xfId="2891"/>
    <cellStyle name="Обычный 3 2 4 2 2 3" xfId="1885"/>
    <cellStyle name="Обычный 3 2 4 2 3" xfId="2427"/>
    <cellStyle name="Обычный 3 2 4 2 4" xfId="1421"/>
    <cellStyle name="Обычный 3 2 4 3" xfId="621"/>
    <cellStyle name="Обычный 3 2 4 3 2" xfId="2659"/>
    <cellStyle name="Обычный 3 2 4 3 3" xfId="1653"/>
    <cellStyle name="Обычный 3 2 4 4" xfId="2195"/>
    <cellStyle name="Обычный 3 2 4 5" xfId="1189"/>
    <cellStyle name="Обычный 3 2 5" xfId="183"/>
    <cellStyle name="Обычный 3 2 5 2" xfId="415"/>
    <cellStyle name="Обычный 3 2 5 2 2" xfId="879"/>
    <cellStyle name="Обычный 3 2 5 2 2 2" xfId="2917"/>
    <cellStyle name="Обычный 3 2 5 2 2 3" xfId="1911"/>
    <cellStyle name="Обычный 3 2 5 2 3" xfId="2453"/>
    <cellStyle name="Обычный 3 2 5 2 4" xfId="1447"/>
    <cellStyle name="Обычный 3 2 5 3" xfId="647"/>
    <cellStyle name="Обычный 3 2 5 3 2" xfId="2685"/>
    <cellStyle name="Обычный 3 2 5 3 3" xfId="1679"/>
    <cellStyle name="Обычный 3 2 5 4" xfId="2221"/>
    <cellStyle name="Обычный 3 2 5 5" xfId="1215"/>
    <cellStyle name="Обычный 3 2 6" xfId="209"/>
    <cellStyle name="Обычный 3 2 6 2" xfId="441"/>
    <cellStyle name="Обычный 3 2 6 2 2" xfId="905"/>
    <cellStyle name="Обычный 3 2 6 2 2 2" xfId="2943"/>
    <cellStyle name="Обычный 3 2 6 2 2 3" xfId="1937"/>
    <cellStyle name="Обычный 3 2 6 2 3" xfId="2479"/>
    <cellStyle name="Обычный 3 2 6 2 4" xfId="1473"/>
    <cellStyle name="Обычный 3 2 6 3" xfId="673"/>
    <cellStyle name="Обычный 3 2 6 3 2" xfId="2711"/>
    <cellStyle name="Обычный 3 2 6 3 3" xfId="1705"/>
    <cellStyle name="Обычный 3 2 6 4" xfId="2247"/>
    <cellStyle name="Обычный 3 2 6 5" xfId="1241"/>
    <cellStyle name="Обычный 3 2 7" xfId="235"/>
    <cellStyle name="Обычный 3 2 7 2" xfId="467"/>
    <cellStyle name="Обычный 3 2 7 2 2" xfId="931"/>
    <cellStyle name="Обычный 3 2 7 2 2 2" xfId="2969"/>
    <cellStyle name="Обычный 3 2 7 2 2 3" xfId="1963"/>
    <cellStyle name="Обычный 3 2 7 2 3" xfId="2505"/>
    <cellStyle name="Обычный 3 2 7 2 4" xfId="1499"/>
    <cellStyle name="Обычный 3 2 7 3" xfId="699"/>
    <cellStyle name="Обычный 3 2 7 3 2" xfId="2737"/>
    <cellStyle name="Обычный 3 2 7 3 3" xfId="1731"/>
    <cellStyle name="Обычный 3 2 7 4" xfId="2273"/>
    <cellStyle name="Обычный 3 2 7 5" xfId="1267"/>
    <cellStyle name="Обычный 3 2 8" xfId="261"/>
    <cellStyle name="Обычный 3 2 8 2" xfId="493"/>
    <cellStyle name="Обычный 3 2 8 2 2" xfId="957"/>
    <cellStyle name="Обычный 3 2 8 2 2 2" xfId="2995"/>
    <cellStyle name="Обычный 3 2 8 2 2 3" xfId="1989"/>
    <cellStyle name="Обычный 3 2 8 2 3" xfId="2531"/>
    <cellStyle name="Обычный 3 2 8 2 4" xfId="1525"/>
    <cellStyle name="Обычный 3 2 8 3" xfId="725"/>
    <cellStyle name="Обычный 3 2 8 3 2" xfId="2763"/>
    <cellStyle name="Обычный 3 2 8 3 3" xfId="1757"/>
    <cellStyle name="Обычный 3 2 8 4" xfId="2299"/>
    <cellStyle name="Обычный 3 2 8 5" xfId="1293"/>
    <cellStyle name="Обычный 3 2 9" xfId="287"/>
    <cellStyle name="Обычный 3 2 9 2" xfId="519"/>
    <cellStyle name="Обычный 3 2 9 2 2" xfId="983"/>
    <cellStyle name="Обычный 3 2 9 2 2 2" xfId="3021"/>
    <cellStyle name="Обычный 3 2 9 2 2 3" xfId="2015"/>
    <cellStyle name="Обычный 3 2 9 2 3" xfId="2557"/>
    <cellStyle name="Обычный 3 2 9 2 4" xfId="1551"/>
    <cellStyle name="Обычный 3 2 9 3" xfId="751"/>
    <cellStyle name="Обычный 3 2 9 3 2" xfId="2789"/>
    <cellStyle name="Обычный 3 2 9 3 3" xfId="1783"/>
    <cellStyle name="Обычный 3 2 9 4" xfId="2325"/>
    <cellStyle name="Обычный 3 2 9 5" xfId="1319"/>
    <cellStyle name="Обычный 3 20" xfId="257"/>
    <cellStyle name="Обычный 3 20 2" xfId="489"/>
    <cellStyle name="Обычный 3 20 2 2" xfId="953"/>
    <cellStyle name="Обычный 3 20 2 2 2" xfId="2991"/>
    <cellStyle name="Обычный 3 20 2 2 3" xfId="1985"/>
    <cellStyle name="Обычный 3 20 2 3" xfId="2527"/>
    <cellStyle name="Обычный 3 20 2 4" xfId="1521"/>
    <cellStyle name="Обычный 3 20 3" xfId="721"/>
    <cellStyle name="Обычный 3 20 3 2" xfId="2759"/>
    <cellStyle name="Обычный 3 20 3 3" xfId="1753"/>
    <cellStyle name="Обычный 3 20 4" xfId="2295"/>
    <cellStyle name="Обычный 3 20 5" xfId="1289"/>
    <cellStyle name="Обычный 3 21" xfId="283"/>
    <cellStyle name="Обычный 3 21 2" xfId="515"/>
    <cellStyle name="Обычный 3 21 2 2" xfId="979"/>
    <cellStyle name="Обычный 3 21 2 2 2" xfId="3017"/>
    <cellStyle name="Обычный 3 21 2 2 3" xfId="2011"/>
    <cellStyle name="Обычный 3 21 2 3" xfId="2553"/>
    <cellStyle name="Обычный 3 21 2 4" xfId="1547"/>
    <cellStyle name="Обычный 3 21 3" xfId="747"/>
    <cellStyle name="Обычный 3 21 3 2" xfId="2785"/>
    <cellStyle name="Обычный 3 21 3 3" xfId="1779"/>
    <cellStyle name="Обычный 3 21 4" xfId="2321"/>
    <cellStyle name="Обычный 3 21 5" xfId="1315"/>
    <cellStyle name="Обычный 3 22" xfId="309"/>
    <cellStyle name="Обычный 3 22 2" xfId="773"/>
    <cellStyle name="Обычный 3 22 2 2" xfId="2811"/>
    <cellStyle name="Обычный 3 22 2 3" xfId="1805"/>
    <cellStyle name="Обычный 3 22 3" xfId="2347"/>
    <cellStyle name="Обычный 3 22 4" xfId="1341"/>
    <cellStyle name="Обычный 3 23" xfId="541"/>
    <cellStyle name="Обычный 3 23 2" xfId="2579"/>
    <cellStyle name="Обычный 3 23 3" xfId="1573"/>
    <cellStyle name="Обычный 3 24" xfId="1005"/>
    <cellStyle name="Обычный 3 24 2" xfId="3043"/>
    <cellStyle name="Обычный 3 24 3" xfId="2037"/>
    <cellStyle name="Обычный 3 25" xfId="1031"/>
    <cellStyle name="Обычный 3 25 2" xfId="3069"/>
    <cellStyle name="Обычный 3 25 3" xfId="2063"/>
    <cellStyle name="Обычный 3 26" xfId="76"/>
    <cellStyle name="Обычный 3 26 2" xfId="2115"/>
    <cellStyle name="Обычный 3 27" xfId="1057"/>
    <cellStyle name="Обычный 3 27 2" xfId="3095"/>
    <cellStyle name="Обычный 3 28" xfId="2089"/>
    <cellStyle name="Обычный 3 29" xfId="1109"/>
    <cellStyle name="Обычный 3 3" xfId="56"/>
    <cellStyle name="Обычный 3 3 10" xfId="313"/>
    <cellStyle name="Обычный 3 3 10 2" xfId="777"/>
    <cellStyle name="Обычный 3 3 10 2 2" xfId="2815"/>
    <cellStyle name="Обычный 3 3 10 2 3" xfId="1809"/>
    <cellStyle name="Обычный 3 3 10 3" xfId="2351"/>
    <cellStyle name="Обычный 3 3 10 4" xfId="1345"/>
    <cellStyle name="Обычный 3 3 11" xfId="545"/>
    <cellStyle name="Обычный 3 3 11 2" xfId="2583"/>
    <cellStyle name="Обычный 3 3 11 3" xfId="1577"/>
    <cellStyle name="Обычный 3 3 12" xfId="1011"/>
    <cellStyle name="Обычный 3 3 12 2" xfId="3049"/>
    <cellStyle name="Обычный 3 3 12 3" xfId="2043"/>
    <cellStyle name="Обычный 3 3 13" xfId="1037"/>
    <cellStyle name="Обычный 3 3 13 2" xfId="3075"/>
    <cellStyle name="Обычный 3 3 13 3" xfId="2069"/>
    <cellStyle name="Обычный 3 3 14" xfId="80"/>
    <cellStyle name="Обычный 3 3 14 2" xfId="2119"/>
    <cellStyle name="Обычный 3 3 15" xfId="1063"/>
    <cellStyle name="Обычный 3 3 15 2" xfId="3101"/>
    <cellStyle name="Обычный 3 3 16" xfId="2095"/>
    <cellStyle name="Обычный 3 3 17" xfId="1113"/>
    <cellStyle name="Обычный 3 3 2" xfId="107"/>
    <cellStyle name="Обычный 3 3 2 2" xfId="339"/>
    <cellStyle name="Обычный 3 3 2 2 2" xfId="803"/>
    <cellStyle name="Обычный 3 3 2 2 2 2" xfId="2841"/>
    <cellStyle name="Обычный 3 3 2 2 2 3" xfId="1835"/>
    <cellStyle name="Обычный 3 3 2 2 3" xfId="2377"/>
    <cellStyle name="Обычный 3 3 2 2 4" xfId="1371"/>
    <cellStyle name="Обычный 3 3 2 3" xfId="571"/>
    <cellStyle name="Обычный 3 3 2 3 2" xfId="2609"/>
    <cellStyle name="Обычный 3 3 2 3 3" xfId="1603"/>
    <cellStyle name="Обычный 3 3 2 4" xfId="1089"/>
    <cellStyle name="Обычный 3 3 2 4 2" xfId="3127"/>
    <cellStyle name="Обычный 3 3 2 5" xfId="2145"/>
    <cellStyle name="Обычный 3 3 2 6" xfId="1139"/>
    <cellStyle name="Обычный 3 3 3" xfId="133"/>
    <cellStyle name="Обычный 3 3 3 2" xfId="365"/>
    <cellStyle name="Обычный 3 3 3 2 2" xfId="829"/>
    <cellStyle name="Обычный 3 3 3 2 2 2" xfId="2867"/>
    <cellStyle name="Обычный 3 3 3 2 2 3" xfId="1861"/>
    <cellStyle name="Обычный 3 3 3 2 3" xfId="2403"/>
    <cellStyle name="Обычный 3 3 3 2 4" xfId="1397"/>
    <cellStyle name="Обычный 3 3 3 3" xfId="597"/>
    <cellStyle name="Обычный 3 3 3 3 2" xfId="2635"/>
    <cellStyle name="Обычный 3 3 3 3 3" xfId="1629"/>
    <cellStyle name="Обычный 3 3 3 4" xfId="2171"/>
    <cellStyle name="Обычный 3 3 3 5" xfId="1165"/>
    <cellStyle name="Обычный 3 3 4" xfId="159"/>
    <cellStyle name="Обычный 3 3 4 2" xfId="391"/>
    <cellStyle name="Обычный 3 3 4 2 2" xfId="855"/>
    <cellStyle name="Обычный 3 3 4 2 2 2" xfId="2893"/>
    <cellStyle name="Обычный 3 3 4 2 2 3" xfId="1887"/>
    <cellStyle name="Обычный 3 3 4 2 3" xfId="2429"/>
    <cellStyle name="Обычный 3 3 4 2 4" xfId="1423"/>
    <cellStyle name="Обычный 3 3 4 3" xfId="623"/>
    <cellStyle name="Обычный 3 3 4 3 2" xfId="2661"/>
    <cellStyle name="Обычный 3 3 4 3 3" xfId="1655"/>
    <cellStyle name="Обычный 3 3 4 4" xfId="2197"/>
    <cellStyle name="Обычный 3 3 4 5" xfId="1191"/>
    <cellStyle name="Обычный 3 3 5" xfId="185"/>
    <cellStyle name="Обычный 3 3 5 2" xfId="417"/>
    <cellStyle name="Обычный 3 3 5 2 2" xfId="881"/>
    <cellStyle name="Обычный 3 3 5 2 2 2" xfId="2919"/>
    <cellStyle name="Обычный 3 3 5 2 2 3" xfId="1913"/>
    <cellStyle name="Обычный 3 3 5 2 3" xfId="2455"/>
    <cellStyle name="Обычный 3 3 5 2 4" xfId="1449"/>
    <cellStyle name="Обычный 3 3 5 3" xfId="649"/>
    <cellStyle name="Обычный 3 3 5 3 2" xfId="2687"/>
    <cellStyle name="Обычный 3 3 5 3 3" xfId="1681"/>
    <cellStyle name="Обычный 3 3 5 4" xfId="2223"/>
    <cellStyle name="Обычный 3 3 5 5" xfId="1217"/>
    <cellStyle name="Обычный 3 3 6" xfId="211"/>
    <cellStyle name="Обычный 3 3 6 2" xfId="443"/>
    <cellStyle name="Обычный 3 3 6 2 2" xfId="907"/>
    <cellStyle name="Обычный 3 3 6 2 2 2" xfId="2945"/>
    <cellStyle name="Обычный 3 3 6 2 2 3" xfId="1939"/>
    <cellStyle name="Обычный 3 3 6 2 3" xfId="2481"/>
    <cellStyle name="Обычный 3 3 6 2 4" xfId="1475"/>
    <cellStyle name="Обычный 3 3 6 3" xfId="675"/>
    <cellStyle name="Обычный 3 3 6 3 2" xfId="2713"/>
    <cellStyle name="Обычный 3 3 6 3 3" xfId="1707"/>
    <cellStyle name="Обычный 3 3 6 4" xfId="2249"/>
    <cellStyle name="Обычный 3 3 6 5" xfId="1243"/>
    <cellStyle name="Обычный 3 3 7" xfId="237"/>
    <cellStyle name="Обычный 3 3 7 2" xfId="469"/>
    <cellStyle name="Обычный 3 3 7 2 2" xfId="933"/>
    <cellStyle name="Обычный 3 3 7 2 2 2" xfId="2971"/>
    <cellStyle name="Обычный 3 3 7 2 2 3" xfId="1965"/>
    <cellStyle name="Обычный 3 3 7 2 3" xfId="2507"/>
    <cellStyle name="Обычный 3 3 7 2 4" xfId="1501"/>
    <cellStyle name="Обычный 3 3 7 3" xfId="701"/>
    <cellStyle name="Обычный 3 3 7 3 2" xfId="2739"/>
    <cellStyle name="Обычный 3 3 7 3 3" xfId="1733"/>
    <cellStyle name="Обычный 3 3 7 4" xfId="2275"/>
    <cellStyle name="Обычный 3 3 7 5" xfId="1269"/>
    <cellStyle name="Обычный 3 3 8" xfId="263"/>
    <cellStyle name="Обычный 3 3 8 2" xfId="495"/>
    <cellStyle name="Обычный 3 3 8 2 2" xfId="959"/>
    <cellStyle name="Обычный 3 3 8 2 2 2" xfId="2997"/>
    <cellStyle name="Обычный 3 3 8 2 2 3" xfId="1991"/>
    <cellStyle name="Обычный 3 3 8 2 3" xfId="2533"/>
    <cellStyle name="Обычный 3 3 8 2 4" xfId="1527"/>
    <cellStyle name="Обычный 3 3 8 3" xfId="727"/>
    <cellStyle name="Обычный 3 3 8 3 2" xfId="2765"/>
    <cellStyle name="Обычный 3 3 8 3 3" xfId="1759"/>
    <cellStyle name="Обычный 3 3 8 4" xfId="2301"/>
    <cellStyle name="Обычный 3 3 8 5" xfId="1295"/>
    <cellStyle name="Обычный 3 3 9" xfId="289"/>
    <cellStyle name="Обычный 3 3 9 2" xfId="521"/>
    <cellStyle name="Обычный 3 3 9 2 2" xfId="985"/>
    <cellStyle name="Обычный 3 3 9 2 2 2" xfId="3023"/>
    <cellStyle name="Обычный 3 3 9 2 2 3" xfId="2017"/>
    <cellStyle name="Обычный 3 3 9 2 3" xfId="2559"/>
    <cellStyle name="Обычный 3 3 9 2 4" xfId="1553"/>
    <cellStyle name="Обычный 3 3 9 3" xfId="753"/>
    <cellStyle name="Обычный 3 3 9 3 2" xfId="2791"/>
    <cellStyle name="Обычный 3 3 9 3 3" xfId="1785"/>
    <cellStyle name="Обычный 3 3 9 4" xfId="2327"/>
    <cellStyle name="Обычный 3 3 9 5" xfId="1321"/>
    <cellStyle name="Обычный 3 4" xfId="58"/>
    <cellStyle name="Обычный 3 4 10" xfId="315"/>
    <cellStyle name="Обычный 3 4 10 2" xfId="779"/>
    <cellStyle name="Обычный 3 4 10 2 2" xfId="2817"/>
    <cellStyle name="Обычный 3 4 10 2 3" xfId="1811"/>
    <cellStyle name="Обычный 3 4 10 3" xfId="2353"/>
    <cellStyle name="Обычный 3 4 10 4" xfId="1347"/>
    <cellStyle name="Обычный 3 4 11" xfId="547"/>
    <cellStyle name="Обычный 3 4 11 2" xfId="2585"/>
    <cellStyle name="Обычный 3 4 11 3" xfId="1579"/>
    <cellStyle name="Обычный 3 4 12" xfId="1013"/>
    <cellStyle name="Обычный 3 4 12 2" xfId="3051"/>
    <cellStyle name="Обычный 3 4 12 3" xfId="2045"/>
    <cellStyle name="Обычный 3 4 13" xfId="1039"/>
    <cellStyle name="Обычный 3 4 13 2" xfId="3077"/>
    <cellStyle name="Обычный 3 4 13 3" xfId="2071"/>
    <cellStyle name="Обычный 3 4 14" xfId="82"/>
    <cellStyle name="Обычный 3 4 14 2" xfId="2121"/>
    <cellStyle name="Обычный 3 4 15" xfId="1065"/>
    <cellStyle name="Обычный 3 4 15 2" xfId="3103"/>
    <cellStyle name="Обычный 3 4 16" xfId="2097"/>
    <cellStyle name="Обычный 3 4 17" xfId="1115"/>
    <cellStyle name="Обычный 3 4 2" xfId="109"/>
    <cellStyle name="Обычный 3 4 2 2" xfId="341"/>
    <cellStyle name="Обычный 3 4 2 2 2" xfId="805"/>
    <cellStyle name="Обычный 3 4 2 2 2 2" xfId="2843"/>
    <cellStyle name="Обычный 3 4 2 2 2 3" xfId="1837"/>
    <cellStyle name="Обычный 3 4 2 2 3" xfId="2379"/>
    <cellStyle name="Обычный 3 4 2 2 4" xfId="1373"/>
    <cellStyle name="Обычный 3 4 2 3" xfId="573"/>
    <cellStyle name="Обычный 3 4 2 3 2" xfId="2611"/>
    <cellStyle name="Обычный 3 4 2 3 3" xfId="1605"/>
    <cellStyle name="Обычный 3 4 2 4" xfId="1091"/>
    <cellStyle name="Обычный 3 4 2 4 2" xfId="3129"/>
    <cellStyle name="Обычный 3 4 2 5" xfId="2147"/>
    <cellStyle name="Обычный 3 4 2 6" xfId="1141"/>
    <cellStyle name="Обычный 3 4 3" xfId="135"/>
    <cellStyle name="Обычный 3 4 3 2" xfId="367"/>
    <cellStyle name="Обычный 3 4 3 2 2" xfId="831"/>
    <cellStyle name="Обычный 3 4 3 2 2 2" xfId="2869"/>
    <cellStyle name="Обычный 3 4 3 2 2 3" xfId="1863"/>
    <cellStyle name="Обычный 3 4 3 2 3" xfId="2405"/>
    <cellStyle name="Обычный 3 4 3 2 4" xfId="1399"/>
    <cellStyle name="Обычный 3 4 3 3" xfId="599"/>
    <cellStyle name="Обычный 3 4 3 3 2" xfId="2637"/>
    <cellStyle name="Обычный 3 4 3 3 3" xfId="1631"/>
    <cellStyle name="Обычный 3 4 3 4" xfId="2173"/>
    <cellStyle name="Обычный 3 4 3 5" xfId="1167"/>
    <cellStyle name="Обычный 3 4 4" xfId="161"/>
    <cellStyle name="Обычный 3 4 4 2" xfId="393"/>
    <cellStyle name="Обычный 3 4 4 2 2" xfId="857"/>
    <cellStyle name="Обычный 3 4 4 2 2 2" xfId="2895"/>
    <cellStyle name="Обычный 3 4 4 2 2 3" xfId="1889"/>
    <cellStyle name="Обычный 3 4 4 2 3" xfId="2431"/>
    <cellStyle name="Обычный 3 4 4 2 4" xfId="1425"/>
    <cellStyle name="Обычный 3 4 4 3" xfId="625"/>
    <cellStyle name="Обычный 3 4 4 3 2" xfId="2663"/>
    <cellStyle name="Обычный 3 4 4 3 3" xfId="1657"/>
    <cellStyle name="Обычный 3 4 4 4" xfId="2199"/>
    <cellStyle name="Обычный 3 4 4 5" xfId="1193"/>
    <cellStyle name="Обычный 3 4 5" xfId="187"/>
    <cellStyle name="Обычный 3 4 5 2" xfId="419"/>
    <cellStyle name="Обычный 3 4 5 2 2" xfId="883"/>
    <cellStyle name="Обычный 3 4 5 2 2 2" xfId="2921"/>
    <cellStyle name="Обычный 3 4 5 2 2 3" xfId="1915"/>
    <cellStyle name="Обычный 3 4 5 2 3" xfId="2457"/>
    <cellStyle name="Обычный 3 4 5 2 4" xfId="1451"/>
    <cellStyle name="Обычный 3 4 5 3" xfId="651"/>
    <cellStyle name="Обычный 3 4 5 3 2" xfId="2689"/>
    <cellStyle name="Обычный 3 4 5 3 3" xfId="1683"/>
    <cellStyle name="Обычный 3 4 5 4" xfId="2225"/>
    <cellStyle name="Обычный 3 4 5 5" xfId="1219"/>
    <cellStyle name="Обычный 3 4 6" xfId="213"/>
    <cellStyle name="Обычный 3 4 6 2" xfId="445"/>
    <cellStyle name="Обычный 3 4 6 2 2" xfId="909"/>
    <cellStyle name="Обычный 3 4 6 2 2 2" xfId="2947"/>
    <cellStyle name="Обычный 3 4 6 2 2 3" xfId="1941"/>
    <cellStyle name="Обычный 3 4 6 2 3" xfId="2483"/>
    <cellStyle name="Обычный 3 4 6 2 4" xfId="1477"/>
    <cellStyle name="Обычный 3 4 6 3" xfId="677"/>
    <cellStyle name="Обычный 3 4 6 3 2" xfId="2715"/>
    <cellStyle name="Обычный 3 4 6 3 3" xfId="1709"/>
    <cellStyle name="Обычный 3 4 6 4" xfId="2251"/>
    <cellStyle name="Обычный 3 4 6 5" xfId="1245"/>
    <cellStyle name="Обычный 3 4 7" xfId="239"/>
    <cellStyle name="Обычный 3 4 7 2" xfId="471"/>
    <cellStyle name="Обычный 3 4 7 2 2" xfId="935"/>
    <cellStyle name="Обычный 3 4 7 2 2 2" xfId="2973"/>
    <cellStyle name="Обычный 3 4 7 2 2 3" xfId="1967"/>
    <cellStyle name="Обычный 3 4 7 2 3" xfId="2509"/>
    <cellStyle name="Обычный 3 4 7 2 4" xfId="1503"/>
    <cellStyle name="Обычный 3 4 7 3" xfId="703"/>
    <cellStyle name="Обычный 3 4 7 3 2" xfId="2741"/>
    <cellStyle name="Обычный 3 4 7 3 3" xfId="1735"/>
    <cellStyle name="Обычный 3 4 7 4" xfId="2277"/>
    <cellStyle name="Обычный 3 4 7 5" xfId="1271"/>
    <cellStyle name="Обычный 3 4 8" xfId="265"/>
    <cellStyle name="Обычный 3 4 8 2" xfId="497"/>
    <cellStyle name="Обычный 3 4 8 2 2" xfId="961"/>
    <cellStyle name="Обычный 3 4 8 2 2 2" xfId="2999"/>
    <cellStyle name="Обычный 3 4 8 2 2 3" xfId="1993"/>
    <cellStyle name="Обычный 3 4 8 2 3" xfId="2535"/>
    <cellStyle name="Обычный 3 4 8 2 4" xfId="1529"/>
    <cellStyle name="Обычный 3 4 8 3" xfId="729"/>
    <cellStyle name="Обычный 3 4 8 3 2" xfId="2767"/>
    <cellStyle name="Обычный 3 4 8 3 3" xfId="1761"/>
    <cellStyle name="Обычный 3 4 8 4" xfId="2303"/>
    <cellStyle name="Обычный 3 4 8 5" xfId="1297"/>
    <cellStyle name="Обычный 3 4 9" xfId="291"/>
    <cellStyle name="Обычный 3 4 9 2" xfId="523"/>
    <cellStyle name="Обычный 3 4 9 2 2" xfId="987"/>
    <cellStyle name="Обычный 3 4 9 2 2 2" xfId="3025"/>
    <cellStyle name="Обычный 3 4 9 2 2 3" xfId="2019"/>
    <cellStyle name="Обычный 3 4 9 2 3" xfId="2561"/>
    <cellStyle name="Обычный 3 4 9 2 4" xfId="1555"/>
    <cellStyle name="Обычный 3 4 9 3" xfId="755"/>
    <cellStyle name="Обычный 3 4 9 3 2" xfId="2793"/>
    <cellStyle name="Обычный 3 4 9 3 3" xfId="1787"/>
    <cellStyle name="Обычный 3 4 9 4" xfId="2329"/>
    <cellStyle name="Обычный 3 4 9 5" xfId="1323"/>
    <cellStyle name="Обычный 3 5" xfId="60"/>
    <cellStyle name="Обычный 3 5 10" xfId="317"/>
    <cellStyle name="Обычный 3 5 10 2" xfId="781"/>
    <cellStyle name="Обычный 3 5 10 2 2" xfId="2819"/>
    <cellStyle name="Обычный 3 5 10 2 3" xfId="1813"/>
    <cellStyle name="Обычный 3 5 10 3" xfId="2355"/>
    <cellStyle name="Обычный 3 5 10 4" xfId="1349"/>
    <cellStyle name="Обычный 3 5 11" xfId="549"/>
    <cellStyle name="Обычный 3 5 11 2" xfId="2587"/>
    <cellStyle name="Обычный 3 5 11 3" xfId="1581"/>
    <cellStyle name="Обычный 3 5 12" xfId="1015"/>
    <cellStyle name="Обычный 3 5 12 2" xfId="3053"/>
    <cellStyle name="Обычный 3 5 12 3" xfId="2047"/>
    <cellStyle name="Обычный 3 5 13" xfId="1041"/>
    <cellStyle name="Обычный 3 5 13 2" xfId="3079"/>
    <cellStyle name="Обычный 3 5 13 3" xfId="2073"/>
    <cellStyle name="Обычный 3 5 14" xfId="84"/>
    <cellStyle name="Обычный 3 5 14 2" xfId="2123"/>
    <cellStyle name="Обычный 3 5 15" xfId="1067"/>
    <cellStyle name="Обычный 3 5 15 2" xfId="3105"/>
    <cellStyle name="Обычный 3 5 16" xfId="2099"/>
    <cellStyle name="Обычный 3 5 17" xfId="1117"/>
    <cellStyle name="Обычный 3 5 2" xfId="111"/>
    <cellStyle name="Обычный 3 5 2 2" xfId="343"/>
    <cellStyle name="Обычный 3 5 2 2 2" xfId="807"/>
    <cellStyle name="Обычный 3 5 2 2 2 2" xfId="2845"/>
    <cellStyle name="Обычный 3 5 2 2 2 3" xfId="1839"/>
    <cellStyle name="Обычный 3 5 2 2 3" xfId="2381"/>
    <cellStyle name="Обычный 3 5 2 2 4" xfId="1375"/>
    <cellStyle name="Обычный 3 5 2 3" xfId="575"/>
    <cellStyle name="Обычный 3 5 2 3 2" xfId="2613"/>
    <cellStyle name="Обычный 3 5 2 3 3" xfId="1607"/>
    <cellStyle name="Обычный 3 5 2 4" xfId="1093"/>
    <cellStyle name="Обычный 3 5 2 4 2" xfId="3131"/>
    <cellStyle name="Обычный 3 5 2 5" xfId="2149"/>
    <cellStyle name="Обычный 3 5 2 6" xfId="1143"/>
    <cellStyle name="Обычный 3 5 3" xfId="137"/>
    <cellStyle name="Обычный 3 5 3 2" xfId="369"/>
    <cellStyle name="Обычный 3 5 3 2 2" xfId="833"/>
    <cellStyle name="Обычный 3 5 3 2 2 2" xfId="2871"/>
    <cellStyle name="Обычный 3 5 3 2 2 3" xfId="1865"/>
    <cellStyle name="Обычный 3 5 3 2 3" xfId="2407"/>
    <cellStyle name="Обычный 3 5 3 2 4" xfId="1401"/>
    <cellStyle name="Обычный 3 5 3 3" xfId="601"/>
    <cellStyle name="Обычный 3 5 3 3 2" xfId="2639"/>
    <cellStyle name="Обычный 3 5 3 3 3" xfId="1633"/>
    <cellStyle name="Обычный 3 5 3 4" xfId="2175"/>
    <cellStyle name="Обычный 3 5 3 5" xfId="1169"/>
    <cellStyle name="Обычный 3 5 4" xfId="163"/>
    <cellStyle name="Обычный 3 5 4 2" xfId="395"/>
    <cellStyle name="Обычный 3 5 4 2 2" xfId="859"/>
    <cellStyle name="Обычный 3 5 4 2 2 2" xfId="2897"/>
    <cellStyle name="Обычный 3 5 4 2 2 3" xfId="1891"/>
    <cellStyle name="Обычный 3 5 4 2 3" xfId="2433"/>
    <cellStyle name="Обычный 3 5 4 2 4" xfId="1427"/>
    <cellStyle name="Обычный 3 5 4 3" xfId="627"/>
    <cellStyle name="Обычный 3 5 4 3 2" xfId="2665"/>
    <cellStyle name="Обычный 3 5 4 3 3" xfId="1659"/>
    <cellStyle name="Обычный 3 5 4 4" xfId="2201"/>
    <cellStyle name="Обычный 3 5 4 5" xfId="1195"/>
    <cellStyle name="Обычный 3 5 5" xfId="189"/>
    <cellStyle name="Обычный 3 5 5 2" xfId="421"/>
    <cellStyle name="Обычный 3 5 5 2 2" xfId="885"/>
    <cellStyle name="Обычный 3 5 5 2 2 2" xfId="2923"/>
    <cellStyle name="Обычный 3 5 5 2 2 3" xfId="1917"/>
    <cellStyle name="Обычный 3 5 5 2 3" xfId="2459"/>
    <cellStyle name="Обычный 3 5 5 2 4" xfId="1453"/>
    <cellStyle name="Обычный 3 5 5 3" xfId="653"/>
    <cellStyle name="Обычный 3 5 5 3 2" xfId="2691"/>
    <cellStyle name="Обычный 3 5 5 3 3" xfId="1685"/>
    <cellStyle name="Обычный 3 5 5 4" xfId="2227"/>
    <cellStyle name="Обычный 3 5 5 5" xfId="1221"/>
    <cellStyle name="Обычный 3 5 6" xfId="215"/>
    <cellStyle name="Обычный 3 5 6 2" xfId="447"/>
    <cellStyle name="Обычный 3 5 6 2 2" xfId="911"/>
    <cellStyle name="Обычный 3 5 6 2 2 2" xfId="2949"/>
    <cellStyle name="Обычный 3 5 6 2 2 3" xfId="1943"/>
    <cellStyle name="Обычный 3 5 6 2 3" xfId="2485"/>
    <cellStyle name="Обычный 3 5 6 2 4" xfId="1479"/>
    <cellStyle name="Обычный 3 5 6 3" xfId="679"/>
    <cellStyle name="Обычный 3 5 6 3 2" xfId="2717"/>
    <cellStyle name="Обычный 3 5 6 3 3" xfId="1711"/>
    <cellStyle name="Обычный 3 5 6 4" xfId="2253"/>
    <cellStyle name="Обычный 3 5 6 5" xfId="1247"/>
    <cellStyle name="Обычный 3 5 7" xfId="241"/>
    <cellStyle name="Обычный 3 5 7 2" xfId="473"/>
    <cellStyle name="Обычный 3 5 7 2 2" xfId="937"/>
    <cellStyle name="Обычный 3 5 7 2 2 2" xfId="2975"/>
    <cellStyle name="Обычный 3 5 7 2 2 3" xfId="1969"/>
    <cellStyle name="Обычный 3 5 7 2 3" xfId="2511"/>
    <cellStyle name="Обычный 3 5 7 2 4" xfId="1505"/>
    <cellStyle name="Обычный 3 5 7 3" xfId="705"/>
    <cellStyle name="Обычный 3 5 7 3 2" xfId="2743"/>
    <cellStyle name="Обычный 3 5 7 3 3" xfId="1737"/>
    <cellStyle name="Обычный 3 5 7 4" xfId="2279"/>
    <cellStyle name="Обычный 3 5 7 5" xfId="1273"/>
    <cellStyle name="Обычный 3 5 8" xfId="267"/>
    <cellStyle name="Обычный 3 5 8 2" xfId="499"/>
    <cellStyle name="Обычный 3 5 8 2 2" xfId="963"/>
    <cellStyle name="Обычный 3 5 8 2 2 2" xfId="3001"/>
    <cellStyle name="Обычный 3 5 8 2 2 3" xfId="1995"/>
    <cellStyle name="Обычный 3 5 8 2 3" xfId="2537"/>
    <cellStyle name="Обычный 3 5 8 2 4" xfId="1531"/>
    <cellStyle name="Обычный 3 5 8 3" xfId="731"/>
    <cellStyle name="Обычный 3 5 8 3 2" xfId="2769"/>
    <cellStyle name="Обычный 3 5 8 3 3" xfId="1763"/>
    <cellStyle name="Обычный 3 5 8 4" xfId="2305"/>
    <cellStyle name="Обычный 3 5 8 5" xfId="1299"/>
    <cellStyle name="Обычный 3 5 9" xfId="293"/>
    <cellStyle name="Обычный 3 5 9 2" xfId="525"/>
    <cellStyle name="Обычный 3 5 9 2 2" xfId="989"/>
    <cellStyle name="Обычный 3 5 9 2 2 2" xfId="3027"/>
    <cellStyle name="Обычный 3 5 9 2 2 3" xfId="2021"/>
    <cellStyle name="Обычный 3 5 9 2 3" xfId="2563"/>
    <cellStyle name="Обычный 3 5 9 2 4" xfId="1557"/>
    <cellStyle name="Обычный 3 5 9 3" xfId="757"/>
    <cellStyle name="Обычный 3 5 9 3 2" xfId="2795"/>
    <cellStyle name="Обычный 3 5 9 3 3" xfId="1789"/>
    <cellStyle name="Обычный 3 5 9 4" xfId="2331"/>
    <cellStyle name="Обычный 3 5 9 5" xfId="1325"/>
    <cellStyle name="Обычный 3 6" xfId="62"/>
    <cellStyle name="Обычный 3 6 10" xfId="319"/>
    <cellStyle name="Обычный 3 6 10 2" xfId="783"/>
    <cellStyle name="Обычный 3 6 10 2 2" xfId="2821"/>
    <cellStyle name="Обычный 3 6 10 2 3" xfId="1815"/>
    <cellStyle name="Обычный 3 6 10 3" xfId="2357"/>
    <cellStyle name="Обычный 3 6 10 4" xfId="1351"/>
    <cellStyle name="Обычный 3 6 11" xfId="551"/>
    <cellStyle name="Обычный 3 6 11 2" xfId="2589"/>
    <cellStyle name="Обычный 3 6 11 3" xfId="1583"/>
    <cellStyle name="Обычный 3 6 12" xfId="1017"/>
    <cellStyle name="Обычный 3 6 12 2" xfId="3055"/>
    <cellStyle name="Обычный 3 6 12 3" xfId="2049"/>
    <cellStyle name="Обычный 3 6 13" xfId="1043"/>
    <cellStyle name="Обычный 3 6 13 2" xfId="3081"/>
    <cellStyle name="Обычный 3 6 13 3" xfId="2075"/>
    <cellStyle name="Обычный 3 6 14" xfId="86"/>
    <cellStyle name="Обычный 3 6 14 2" xfId="2125"/>
    <cellStyle name="Обычный 3 6 15" xfId="1069"/>
    <cellStyle name="Обычный 3 6 15 2" xfId="3107"/>
    <cellStyle name="Обычный 3 6 16" xfId="2101"/>
    <cellStyle name="Обычный 3 6 17" xfId="1119"/>
    <cellStyle name="Обычный 3 6 2" xfId="113"/>
    <cellStyle name="Обычный 3 6 2 2" xfId="345"/>
    <cellStyle name="Обычный 3 6 2 2 2" xfId="809"/>
    <cellStyle name="Обычный 3 6 2 2 2 2" xfId="2847"/>
    <cellStyle name="Обычный 3 6 2 2 2 3" xfId="1841"/>
    <cellStyle name="Обычный 3 6 2 2 3" xfId="2383"/>
    <cellStyle name="Обычный 3 6 2 2 4" xfId="1377"/>
    <cellStyle name="Обычный 3 6 2 3" xfId="577"/>
    <cellStyle name="Обычный 3 6 2 3 2" xfId="2615"/>
    <cellStyle name="Обычный 3 6 2 3 3" xfId="1609"/>
    <cellStyle name="Обычный 3 6 2 4" xfId="1095"/>
    <cellStyle name="Обычный 3 6 2 4 2" xfId="3133"/>
    <cellStyle name="Обычный 3 6 2 5" xfId="2151"/>
    <cellStyle name="Обычный 3 6 2 6" xfId="1145"/>
    <cellStyle name="Обычный 3 6 3" xfId="139"/>
    <cellStyle name="Обычный 3 6 3 2" xfId="371"/>
    <cellStyle name="Обычный 3 6 3 2 2" xfId="835"/>
    <cellStyle name="Обычный 3 6 3 2 2 2" xfId="2873"/>
    <cellStyle name="Обычный 3 6 3 2 2 3" xfId="1867"/>
    <cellStyle name="Обычный 3 6 3 2 3" xfId="2409"/>
    <cellStyle name="Обычный 3 6 3 2 4" xfId="1403"/>
    <cellStyle name="Обычный 3 6 3 3" xfId="603"/>
    <cellStyle name="Обычный 3 6 3 3 2" xfId="2641"/>
    <cellStyle name="Обычный 3 6 3 3 3" xfId="1635"/>
    <cellStyle name="Обычный 3 6 3 4" xfId="2177"/>
    <cellStyle name="Обычный 3 6 3 5" xfId="1171"/>
    <cellStyle name="Обычный 3 6 4" xfId="165"/>
    <cellStyle name="Обычный 3 6 4 2" xfId="397"/>
    <cellStyle name="Обычный 3 6 4 2 2" xfId="861"/>
    <cellStyle name="Обычный 3 6 4 2 2 2" xfId="2899"/>
    <cellStyle name="Обычный 3 6 4 2 2 3" xfId="1893"/>
    <cellStyle name="Обычный 3 6 4 2 3" xfId="2435"/>
    <cellStyle name="Обычный 3 6 4 2 4" xfId="1429"/>
    <cellStyle name="Обычный 3 6 4 3" xfId="629"/>
    <cellStyle name="Обычный 3 6 4 3 2" xfId="2667"/>
    <cellStyle name="Обычный 3 6 4 3 3" xfId="1661"/>
    <cellStyle name="Обычный 3 6 4 4" xfId="2203"/>
    <cellStyle name="Обычный 3 6 4 5" xfId="1197"/>
    <cellStyle name="Обычный 3 6 5" xfId="191"/>
    <cellStyle name="Обычный 3 6 5 2" xfId="423"/>
    <cellStyle name="Обычный 3 6 5 2 2" xfId="887"/>
    <cellStyle name="Обычный 3 6 5 2 2 2" xfId="2925"/>
    <cellStyle name="Обычный 3 6 5 2 2 3" xfId="1919"/>
    <cellStyle name="Обычный 3 6 5 2 3" xfId="2461"/>
    <cellStyle name="Обычный 3 6 5 2 4" xfId="1455"/>
    <cellStyle name="Обычный 3 6 5 3" xfId="655"/>
    <cellStyle name="Обычный 3 6 5 3 2" xfId="2693"/>
    <cellStyle name="Обычный 3 6 5 3 3" xfId="1687"/>
    <cellStyle name="Обычный 3 6 5 4" xfId="2229"/>
    <cellStyle name="Обычный 3 6 5 5" xfId="1223"/>
    <cellStyle name="Обычный 3 6 6" xfId="217"/>
    <cellStyle name="Обычный 3 6 6 2" xfId="449"/>
    <cellStyle name="Обычный 3 6 6 2 2" xfId="913"/>
    <cellStyle name="Обычный 3 6 6 2 2 2" xfId="2951"/>
    <cellStyle name="Обычный 3 6 6 2 2 3" xfId="1945"/>
    <cellStyle name="Обычный 3 6 6 2 3" xfId="2487"/>
    <cellStyle name="Обычный 3 6 6 2 4" xfId="1481"/>
    <cellStyle name="Обычный 3 6 6 3" xfId="681"/>
    <cellStyle name="Обычный 3 6 6 3 2" xfId="2719"/>
    <cellStyle name="Обычный 3 6 6 3 3" xfId="1713"/>
    <cellStyle name="Обычный 3 6 6 4" xfId="2255"/>
    <cellStyle name="Обычный 3 6 6 5" xfId="1249"/>
    <cellStyle name="Обычный 3 6 7" xfId="243"/>
    <cellStyle name="Обычный 3 6 7 2" xfId="475"/>
    <cellStyle name="Обычный 3 6 7 2 2" xfId="939"/>
    <cellStyle name="Обычный 3 6 7 2 2 2" xfId="2977"/>
    <cellStyle name="Обычный 3 6 7 2 2 3" xfId="1971"/>
    <cellStyle name="Обычный 3 6 7 2 3" xfId="2513"/>
    <cellStyle name="Обычный 3 6 7 2 4" xfId="1507"/>
    <cellStyle name="Обычный 3 6 7 3" xfId="707"/>
    <cellStyle name="Обычный 3 6 7 3 2" xfId="2745"/>
    <cellStyle name="Обычный 3 6 7 3 3" xfId="1739"/>
    <cellStyle name="Обычный 3 6 7 4" xfId="2281"/>
    <cellStyle name="Обычный 3 6 7 5" xfId="1275"/>
    <cellStyle name="Обычный 3 6 8" xfId="269"/>
    <cellStyle name="Обычный 3 6 8 2" xfId="501"/>
    <cellStyle name="Обычный 3 6 8 2 2" xfId="965"/>
    <cellStyle name="Обычный 3 6 8 2 2 2" xfId="3003"/>
    <cellStyle name="Обычный 3 6 8 2 2 3" xfId="1997"/>
    <cellStyle name="Обычный 3 6 8 2 3" xfId="2539"/>
    <cellStyle name="Обычный 3 6 8 2 4" xfId="1533"/>
    <cellStyle name="Обычный 3 6 8 3" xfId="733"/>
    <cellStyle name="Обычный 3 6 8 3 2" xfId="2771"/>
    <cellStyle name="Обычный 3 6 8 3 3" xfId="1765"/>
    <cellStyle name="Обычный 3 6 8 4" xfId="2307"/>
    <cellStyle name="Обычный 3 6 8 5" xfId="1301"/>
    <cellStyle name="Обычный 3 6 9" xfId="295"/>
    <cellStyle name="Обычный 3 6 9 2" xfId="527"/>
    <cellStyle name="Обычный 3 6 9 2 2" xfId="991"/>
    <cellStyle name="Обычный 3 6 9 2 2 2" xfId="3029"/>
    <cellStyle name="Обычный 3 6 9 2 2 3" xfId="2023"/>
    <cellStyle name="Обычный 3 6 9 2 3" xfId="2565"/>
    <cellStyle name="Обычный 3 6 9 2 4" xfId="1559"/>
    <cellStyle name="Обычный 3 6 9 3" xfId="759"/>
    <cellStyle name="Обычный 3 6 9 3 2" xfId="2797"/>
    <cellStyle name="Обычный 3 6 9 3 3" xfId="1791"/>
    <cellStyle name="Обычный 3 6 9 4" xfId="2333"/>
    <cellStyle name="Обычный 3 6 9 5" xfId="1327"/>
    <cellStyle name="Обычный 3 7" xfId="64"/>
    <cellStyle name="Обычный 3 7 10" xfId="321"/>
    <cellStyle name="Обычный 3 7 10 2" xfId="785"/>
    <cellStyle name="Обычный 3 7 10 2 2" xfId="2823"/>
    <cellStyle name="Обычный 3 7 10 2 3" xfId="1817"/>
    <cellStyle name="Обычный 3 7 10 3" xfId="2359"/>
    <cellStyle name="Обычный 3 7 10 4" xfId="1353"/>
    <cellStyle name="Обычный 3 7 11" xfId="553"/>
    <cellStyle name="Обычный 3 7 11 2" xfId="2591"/>
    <cellStyle name="Обычный 3 7 11 3" xfId="1585"/>
    <cellStyle name="Обычный 3 7 12" xfId="1019"/>
    <cellStyle name="Обычный 3 7 12 2" xfId="3057"/>
    <cellStyle name="Обычный 3 7 12 3" xfId="2051"/>
    <cellStyle name="Обычный 3 7 13" xfId="1045"/>
    <cellStyle name="Обычный 3 7 13 2" xfId="3083"/>
    <cellStyle name="Обычный 3 7 13 3" xfId="2077"/>
    <cellStyle name="Обычный 3 7 14" xfId="88"/>
    <cellStyle name="Обычный 3 7 14 2" xfId="2127"/>
    <cellStyle name="Обычный 3 7 15" xfId="1071"/>
    <cellStyle name="Обычный 3 7 15 2" xfId="3109"/>
    <cellStyle name="Обычный 3 7 16" xfId="2103"/>
    <cellStyle name="Обычный 3 7 17" xfId="1121"/>
    <cellStyle name="Обычный 3 7 2" xfId="115"/>
    <cellStyle name="Обычный 3 7 2 2" xfId="347"/>
    <cellStyle name="Обычный 3 7 2 2 2" xfId="811"/>
    <cellStyle name="Обычный 3 7 2 2 2 2" xfId="2849"/>
    <cellStyle name="Обычный 3 7 2 2 2 3" xfId="1843"/>
    <cellStyle name="Обычный 3 7 2 2 3" xfId="2385"/>
    <cellStyle name="Обычный 3 7 2 2 4" xfId="1379"/>
    <cellStyle name="Обычный 3 7 2 3" xfId="579"/>
    <cellStyle name="Обычный 3 7 2 3 2" xfId="2617"/>
    <cellStyle name="Обычный 3 7 2 3 3" xfId="1611"/>
    <cellStyle name="Обычный 3 7 2 4" xfId="1097"/>
    <cellStyle name="Обычный 3 7 2 4 2" xfId="3135"/>
    <cellStyle name="Обычный 3 7 2 5" xfId="2153"/>
    <cellStyle name="Обычный 3 7 2 6" xfId="1147"/>
    <cellStyle name="Обычный 3 7 3" xfId="141"/>
    <cellStyle name="Обычный 3 7 3 2" xfId="373"/>
    <cellStyle name="Обычный 3 7 3 2 2" xfId="837"/>
    <cellStyle name="Обычный 3 7 3 2 2 2" xfId="2875"/>
    <cellStyle name="Обычный 3 7 3 2 2 3" xfId="1869"/>
    <cellStyle name="Обычный 3 7 3 2 3" xfId="2411"/>
    <cellStyle name="Обычный 3 7 3 2 4" xfId="1405"/>
    <cellStyle name="Обычный 3 7 3 3" xfId="605"/>
    <cellStyle name="Обычный 3 7 3 3 2" xfId="2643"/>
    <cellStyle name="Обычный 3 7 3 3 3" xfId="1637"/>
    <cellStyle name="Обычный 3 7 3 4" xfId="2179"/>
    <cellStyle name="Обычный 3 7 3 5" xfId="1173"/>
    <cellStyle name="Обычный 3 7 4" xfId="167"/>
    <cellStyle name="Обычный 3 7 4 2" xfId="399"/>
    <cellStyle name="Обычный 3 7 4 2 2" xfId="863"/>
    <cellStyle name="Обычный 3 7 4 2 2 2" xfId="2901"/>
    <cellStyle name="Обычный 3 7 4 2 2 3" xfId="1895"/>
    <cellStyle name="Обычный 3 7 4 2 3" xfId="2437"/>
    <cellStyle name="Обычный 3 7 4 2 4" xfId="1431"/>
    <cellStyle name="Обычный 3 7 4 3" xfId="631"/>
    <cellStyle name="Обычный 3 7 4 3 2" xfId="2669"/>
    <cellStyle name="Обычный 3 7 4 3 3" xfId="1663"/>
    <cellStyle name="Обычный 3 7 4 4" xfId="2205"/>
    <cellStyle name="Обычный 3 7 4 5" xfId="1199"/>
    <cellStyle name="Обычный 3 7 5" xfId="193"/>
    <cellStyle name="Обычный 3 7 5 2" xfId="425"/>
    <cellStyle name="Обычный 3 7 5 2 2" xfId="889"/>
    <cellStyle name="Обычный 3 7 5 2 2 2" xfId="2927"/>
    <cellStyle name="Обычный 3 7 5 2 2 3" xfId="1921"/>
    <cellStyle name="Обычный 3 7 5 2 3" xfId="2463"/>
    <cellStyle name="Обычный 3 7 5 2 4" xfId="1457"/>
    <cellStyle name="Обычный 3 7 5 3" xfId="657"/>
    <cellStyle name="Обычный 3 7 5 3 2" xfId="2695"/>
    <cellStyle name="Обычный 3 7 5 3 3" xfId="1689"/>
    <cellStyle name="Обычный 3 7 5 4" xfId="2231"/>
    <cellStyle name="Обычный 3 7 5 5" xfId="1225"/>
    <cellStyle name="Обычный 3 7 6" xfId="219"/>
    <cellStyle name="Обычный 3 7 6 2" xfId="451"/>
    <cellStyle name="Обычный 3 7 6 2 2" xfId="915"/>
    <cellStyle name="Обычный 3 7 6 2 2 2" xfId="2953"/>
    <cellStyle name="Обычный 3 7 6 2 2 3" xfId="1947"/>
    <cellStyle name="Обычный 3 7 6 2 3" xfId="2489"/>
    <cellStyle name="Обычный 3 7 6 2 4" xfId="1483"/>
    <cellStyle name="Обычный 3 7 6 3" xfId="683"/>
    <cellStyle name="Обычный 3 7 6 3 2" xfId="2721"/>
    <cellStyle name="Обычный 3 7 6 3 3" xfId="1715"/>
    <cellStyle name="Обычный 3 7 6 4" xfId="2257"/>
    <cellStyle name="Обычный 3 7 6 5" xfId="1251"/>
    <cellStyle name="Обычный 3 7 7" xfId="245"/>
    <cellStyle name="Обычный 3 7 7 2" xfId="477"/>
    <cellStyle name="Обычный 3 7 7 2 2" xfId="941"/>
    <cellStyle name="Обычный 3 7 7 2 2 2" xfId="2979"/>
    <cellStyle name="Обычный 3 7 7 2 2 3" xfId="1973"/>
    <cellStyle name="Обычный 3 7 7 2 3" xfId="2515"/>
    <cellStyle name="Обычный 3 7 7 2 4" xfId="1509"/>
    <cellStyle name="Обычный 3 7 7 3" xfId="709"/>
    <cellStyle name="Обычный 3 7 7 3 2" xfId="2747"/>
    <cellStyle name="Обычный 3 7 7 3 3" xfId="1741"/>
    <cellStyle name="Обычный 3 7 7 4" xfId="2283"/>
    <cellStyle name="Обычный 3 7 7 5" xfId="1277"/>
    <cellStyle name="Обычный 3 7 8" xfId="271"/>
    <cellStyle name="Обычный 3 7 8 2" xfId="503"/>
    <cellStyle name="Обычный 3 7 8 2 2" xfId="967"/>
    <cellStyle name="Обычный 3 7 8 2 2 2" xfId="3005"/>
    <cellStyle name="Обычный 3 7 8 2 2 3" xfId="1999"/>
    <cellStyle name="Обычный 3 7 8 2 3" xfId="2541"/>
    <cellStyle name="Обычный 3 7 8 2 4" xfId="1535"/>
    <cellStyle name="Обычный 3 7 8 3" xfId="735"/>
    <cellStyle name="Обычный 3 7 8 3 2" xfId="2773"/>
    <cellStyle name="Обычный 3 7 8 3 3" xfId="1767"/>
    <cellStyle name="Обычный 3 7 8 4" xfId="2309"/>
    <cellStyle name="Обычный 3 7 8 5" xfId="1303"/>
    <cellStyle name="Обычный 3 7 9" xfId="297"/>
    <cellStyle name="Обычный 3 7 9 2" xfId="529"/>
    <cellStyle name="Обычный 3 7 9 2 2" xfId="993"/>
    <cellStyle name="Обычный 3 7 9 2 2 2" xfId="3031"/>
    <cellStyle name="Обычный 3 7 9 2 2 3" xfId="2025"/>
    <cellStyle name="Обычный 3 7 9 2 3" xfId="2567"/>
    <cellStyle name="Обычный 3 7 9 2 4" xfId="1561"/>
    <cellStyle name="Обычный 3 7 9 3" xfId="761"/>
    <cellStyle name="Обычный 3 7 9 3 2" xfId="2799"/>
    <cellStyle name="Обычный 3 7 9 3 3" xfId="1793"/>
    <cellStyle name="Обычный 3 7 9 4" xfId="2335"/>
    <cellStyle name="Обычный 3 7 9 5" xfId="1329"/>
    <cellStyle name="Обычный 3 8" xfId="66"/>
    <cellStyle name="Обычный 3 8 10" xfId="323"/>
    <cellStyle name="Обычный 3 8 10 2" xfId="787"/>
    <cellStyle name="Обычный 3 8 10 2 2" xfId="2825"/>
    <cellStyle name="Обычный 3 8 10 2 3" xfId="1819"/>
    <cellStyle name="Обычный 3 8 10 3" xfId="2361"/>
    <cellStyle name="Обычный 3 8 10 4" xfId="1355"/>
    <cellStyle name="Обычный 3 8 11" xfId="555"/>
    <cellStyle name="Обычный 3 8 11 2" xfId="2593"/>
    <cellStyle name="Обычный 3 8 11 3" xfId="1587"/>
    <cellStyle name="Обычный 3 8 12" xfId="1021"/>
    <cellStyle name="Обычный 3 8 12 2" xfId="3059"/>
    <cellStyle name="Обычный 3 8 12 3" xfId="2053"/>
    <cellStyle name="Обычный 3 8 13" xfId="1047"/>
    <cellStyle name="Обычный 3 8 13 2" xfId="3085"/>
    <cellStyle name="Обычный 3 8 13 3" xfId="2079"/>
    <cellStyle name="Обычный 3 8 14" xfId="90"/>
    <cellStyle name="Обычный 3 8 14 2" xfId="2129"/>
    <cellStyle name="Обычный 3 8 15" xfId="1073"/>
    <cellStyle name="Обычный 3 8 15 2" xfId="3111"/>
    <cellStyle name="Обычный 3 8 16" xfId="2105"/>
    <cellStyle name="Обычный 3 8 17" xfId="1123"/>
    <cellStyle name="Обычный 3 8 2" xfId="117"/>
    <cellStyle name="Обычный 3 8 2 2" xfId="349"/>
    <cellStyle name="Обычный 3 8 2 2 2" xfId="813"/>
    <cellStyle name="Обычный 3 8 2 2 2 2" xfId="2851"/>
    <cellStyle name="Обычный 3 8 2 2 2 3" xfId="1845"/>
    <cellStyle name="Обычный 3 8 2 2 3" xfId="2387"/>
    <cellStyle name="Обычный 3 8 2 2 4" xfId="1381"/>
    <cellStyle name="Обычный 3 8 2 3" xfId="581"/>
    <cellStyle name="Обычный 3 8 2 3 2" xfId="2619"/>
    <cellStyle name="Обычный 3 8 2 3 3" xfId="1613"/>
    <cellStyle name="Обычный 3 8 2 4" xfId="1099"/>
    <cellStyle name="Обычный 3 8 2 4 2" xfId="3137"/>
    <cellStyle name="Обычный 3 8 2 5" xfId="2155"/>
    <cellStyle name="Обычный 3 8 2 6" xfId="1149"/>
    <cellStyle name="Обычный 3 8 3" xfId="143"/>
    <cellStyle name="Обычный 3 8 3 2" xfId="375"/>
    <cellStyle name="Обычный 3 8 3 2 2" xfId="839"/>
    <cellStyle name="Обычный 3 8 3 2 2 2" xfId="2877"/>
    <cellStyle name="Обычный 3 8 3 2 2 3" xfId="1871"/>
    <cellStyle name="Обычный 3 8 3 2 3" xfId="2413"/>
    <cellStyle name="Обычный 3 8 3 2 4" xfId="1407"/>
    <cellStyle name="Обычный 3 8 3 3" xfId="607"/>
    <cellStyle name="Обычный 3 8 3 3 2" xfId="2645"/>
    <cellStyle name="Обычный 3 8 3 3 3" xfId="1639"/>
    <cellStyle name="Обычный 3 8 3 4" xfId="2181"/>
    <cellStyle name="Обычный 3 8 3 5" xfId="1175"/>
    <cellStyle name="Обычный 3 8 4" xfId="169"/>
    <cellStyle name="Обычный 3 8 4 2" xfId="401"/>
    <cellStyle name="Обычный 3 8 4 2 2" xfId="865"/>
    <cellStyle name="Обычный 3 8 4 2 2 2" xfId="2903"/>
    <cellStyle name="Обычный 3 8 4 2 2 3" xfId="1897"/>
    <cellStyle name="Обычный 3 8 4 2 3" xfId="2439"/>
    <cellStyle name="Обычный 3 8 4 2 4" xfId="1433"/>
    <cellStyle name="Обычный 3 8 4 3" xfId="633"/>
    <cellStyle name="Обычный 3 8 4 3 2" xfId="2671"/>
    <cellStyle name="Обычный 3 8 4 3 3" xfId="1665"/>
    <cellStyle name="Обычный 3 8 4 4" xfId="2207"/>
    <cellStyle name="Обычный 3 8 4 5" xfId="1201"/>
    <cellStyle name="Обычный 3 8 5" xfId="195"/>
    <cellStyle name="Обычный 3 8 5 2" xfId="427"/>
    <cellStyle name="Обычный 3 8 5 2 2" xfId="891"/>
    <cellStyle name="Обычный 3 8 5 2 2 2" xfId="2929"/>
    <cellStyle name="Обычный 3 8 5 2 2 3" xfId="1923"/>
    <cellStyle name="Обычный 3 8 5 2 3" xfId="2465"/>
    <cellStyle name="Обычный 3 8 5 2 4" xfId="1459"/>
    <cellStyle name="Обычный 3 8 5 3" xfId="659"/>
    <cellStyle name="Обычный 3 8 5 3 2" xfId="2697"/>
    <cellStyle name="Обычный 3 8 5 3 3" xfId="1691"/>
    <cellStyle name="Обычный 3 8 5 4" xfId="2233"/>
    <cellStyle name="Обычный 3 8 5 5" xfId="1227"/>
    <cellStyle name="Обычный 3 8 6" xfId="221"/>
    <cellStyle name="Обычный 3 8 6 2" xfId="453"/>
    <cellStyle name="Обычный 3 8 6 2 2" xfId="917"/>
    <cellStyle name="Обычный 3 8 6 2 2 2" xfId="2955"/>
    <cellStyle name="Обычный 3 8 6 2 2 3" xfId="1949"/>
    <cellStyle name="Обычный 3 8 6 2 3" xfId="2491"/>
    <cellStyle name="Обычный 3 8 6 2 4" xfId="1485"/>
    <cellStyle name="Обычный 3 8 6 3" xfId="685"/>
    <cellStyle name="Обычный 3 8 6 3 2" xfId="2723"/>
    <cellStyle name="Обычный 3 8 6 3 3" xfId="1717"/>
    <cellStyle name="Обычный 3 8 6 4" xfId="2259"/>
    <cellStyle name="Обычный 3 8 6 5" xfId="1253"/>
    <cellStyle name="Обычный 3 8 7" xfId="247"/>
    <cellStyle name="Обычный 3 8 7 2" xfId="479"/>
    <cellStyle name="Обычный 3 8 7 2 2" xfId="943"/>
    <cellStyle name="Обычный 3 8 7 2 2 2" xfId="2981"/>
    <cellStyle name="Обычный 3 8 7 2 2 3" xfId="1975"/>
    <cellStyle name="Обычный 3 8 7 2 3" xfId="2517"/>
    <cellStyle name="Обычный 3 8 7 2 4" xfId="1511"/>
    <cellStyle name="Обычный 3 8 7 3" xfId="711"/>
    <cellStyle name="Обычный 3 8 7 3 2" xfId="2749"/>
    <cellStyle name="Обычный 3 8 7 3 3" xfId="1743"/>
    <cellStyle name="Обычный 3 8 7 4" xfId="2285"/>
    <cellStyle name="Обычный 3 8 7 5" xfId="1279"/>
    <cellStyle name="Обычный 3 8 8" xfId="273"/>
    <cellStyle name="Обычный 3 8 8 2" xfId="505"/>
    <cellStyle name="Обычный 3 8 8 2 2" xfId="969"/>
    <cellStyle name="Обычный 3 8 8 2 2 2" xfId="3007"/>
    <cellStyle name="Обычный 3 8 8 2 2 3" xfId="2001"/>
    <cellStyle name="Обычный 3 8 8 2 3" xfId="2543"/>
    <cellStyle name="Обычный 3 8 8 2 4" xfId="1537"/>
    <cellStyle name="Обычный 3 8 8 3" xfId="737"/>
    <cellStyle name="Обычный 3 8 8 3 2" xfId="2775"/>
    <cellStyle name="Обычный 3 8 8 3 3" xfId="1769"/>
    <cellStyle name="Обычный 3 8 8 4" xfId="2311"/>
    <cellStyle name="Обычный 3 8 8 5" xfId="1305"/>
    <cellStyle name="Обычный 3 8 9" xfId="299"/>
    <cellStyle name="Обычный 3 8 9 2" xfId="531"/>
    <cellStyle name="Обычный 3 8 9 2 2" xfId="995"/>
    <cellStyle name="Обычный 3 8 9 2 2 2" xfId="3033"/>
    <cellStyle name="Обычный 3 8 9 2 2 3" xfId="2027"/>
    <cellStyle name="Обычный 3 8 9 2 3" xfId="2569"/>
    <cellStyle name="Обычный 3 8 9 2 4" xfId="1563"/>
    <cellStyle name="Обычный 3 8 9 3" xfId="763"/>
    <cellStyle name="Обычный 3 8 9 3 2" xfId="2801"/>
    <cellStyle name="Обычный 3 8 9 3 3" xfId="1795"/>
    <cellStyle name="Обычный 3 8 9 4" xfId="2337"/>
    <cellStyle name="Обычный 3 8 9 5" xfId="1331"/>
    <cellStyle name="Обычный 3 9" xfId="68"/>
    <cellStyle name="Обычный 3 9 10" xfId="325"/>
    <cellStyle name="Обычный 3 9 10 2" xfId="789"/>
    <cellStyle name="Обычный 3 9 10 2 2" xfId="2827"/>
    <cellStyle name="Обычный 3 9 10 2 3" xfId="1821"/>
    <cellStyle name="Обычный 3 9 10 3" xfId="2363"/>
    <cellStyle name="Обычный 3 9 10 4" xfId="1357"/>
    <cellStyle name="Обычный 3 9 11" xfId="557"/>
    <cellStyle name="Обычный 3 9 11 2" xfId="2595"/>
    <cellStyle name="Обычный 3 9 11 3" xfId="1589"/>
    <cellStyle name="Обычный 3 9 12" xfId="1023"/>
    <cellStyle name="Обычный 3 9 12 2" xfId="3061"/>
    <cellStyle name="Обычный 3 9 12 3" xfId="2055"/>
    <cellStyle name="Обычный 3 9 13" xfId="1049"/>
    <cellStyle name="Обычный 3 9 13 2" xfId="3087"/>
    <cellStyle name="Обычный 3 9 13 3" xfId="2081"/>
    <cellStyle name="Обычный 3 9 14" xfId="92"/>
    <cellStyle name="Обычный 3 9 14 2" xfId="2131"/>
    <cellStyle name="Обычный 3 9 15" xfId="1075"/>
    <cellStyle name="Обычный 3 9 15 2" xfId="3113"/>
    <cellStyle name="Обычный 3 9 16" xfId="2107"/>
    <cellStyle name="Обычный 3 9 17" xfId="1125"/>
    <cellStyle name="Обычный 3 9 2" xfId="119"/>
    <cellStyle name="Обычный 3 9 2 2" xfId="351"/>
    <cellStyle name="Обычный 3 9 2 2 2" xfId="815"/>
    <cellStyle name="Обычный 3 9 2 2 2 2" xfId="2853"/>
    <cellStyle name="Обычный 3 9 2 2 2 3" xfId="1847"/>
    <cellStyle name="Обычный 3 9 2 2 3" xfId="2389"/>
    <cellStyle name="Обычный 3 9 2 2 4" xfId="1383"/>
    <cellStyle name="Обычный 3 9 2 3" xfId="583"/>
    <cellStyle name="Обычный 3 9 2 3 2" xfId="2621"/>
    <cellStyle name="Обычный 3 9 2 3 3" xfId="1615"/>
    <cellStyle name="Обычный 3 9 2 4" xfId="1101"/>
    <cellStyle name="Обычный 3 9 2 4 2" xfId="3139"/>
    <cellStyle name="Обычный 3 9 2 5" xfId="2157"/>
    <cellStyle name="Обычный 3 9 2 6" xfId="1151"/>
    <cellStyle name="Обычный 3 9 3" xfId="145"/>
    <cellStyle name="Обычный 3 9 3 2" xfId="377"/>
    <cellStyle name="Обычный 3 9 3 2 2" xfId="841"/>
    <cellStyle name="Обычный 3 9 3 2 2 2" xfId="2879"/>
    <cellStyle name="Обычный 3 9 3 2 2 3" xfId="1873"/>
    <cellStyle name="Обычный 3 9 3 2 3" xfId="2415"/>
    <cellStyle name="Обычный 3 9 3 2 4" xfId="1409"/>
    <cellStyle name="Обычный 3 9 3 3" xfId="609"/>
    <cellStyle name="Обычный 3 9 3 3 2" xfId="2647"/>
    <cellStyle name="Обычный 3 9 3 3 3" xfId="1641"/>
    <cellStyle name="Обычный 3 9 3 4" xfId="2183"/>
    <cellStyle name="Обычный 3 9 3 5" xfId="1177"/>
    <cellStyle name="Обычный 3 9 4" xfId="171"/>
    <cellStyle name="Обычный 3 9 4 2" xfId="403"/>
    <cellStyle name="Обычный 3 9 4 2 2" xfId="867"/>
    <cellStyle name="Обычный 3 9 4 2 2 2" xfId="2905"/>
    <cellStyle name="Обычный 3 9 4 2 2 3" xfId="1899"/>
    <cellStyle name="Обычный 3 9 4 2 3" xfId="2441"/>
    <cellStyle name="Обычный 3 9 4 2 4" xfId="1435"/>
    <cellStyle name="Обычный 3 9 4 3" xfId="635"/>
    <cellStyle name="Обычный 3 9 4 3 2" xfId="2673"/>
    <cellStyle name="Обычный 3 9 4 3 3" xfId="1667"/>
    <cellStyle name="Обычный 3 9 4 4" xfId="2209"/>
    <cellStyle name="Обычный 3 9 4 5" xfId="1203"/>
    <cellStyle name="Обычный 3 9 5" xfId="197"/>
    <cellStyle name="Обычный 3 9 5 2" xfId="429"/>
    <cellStyle name="Обычный 3 9 5 2 2" xfId="893"/>
    <cellStyle name="Обычный 3 9 5 2 2 2" xfId="2931"/>
    <cellStyle name="Обычный 3 9 5 2 2 3" xfId="1925"/>
    <cellStyle name="Обычный 3 9 5 2 3" xfId="2467"/>
    <cellStyle name="Обычный 3 9 5 2 4" xfId="1461"/>
    <cellStyle name="Обычный 3 9 5 3" xfId="661"/>
    <cellStyle name="Обычный 3 9 5 3 2" xfId="2699"/>
    <cellStyle name="Обычный 3 9 5 3 3" xfId="1693"/>
    <cellStyle name="Обычный 3 9 5 4" xfId="2235"/>
    <cellStyle name="Обычный 3 9 5 5" xfId="1229"/>
    <cellStyle name="Обычный 3 9 6" xfId="223"/>
    <cellStyle name="Обычный 3 9 6 2" xfId="455"/>
    <cellStyle name="Обычный 3 9 6 2 2" xfId="919"/>
    <cellStyle name="Обычный 3 9 6 2 2 2" xfId="2957"/>
    <cellStyle name="Обычный 3 9 6 2 2 3" xfId="1951"/>
    <cellStyle name="Обычный 3 9 6 2 3" xfId="2493"/>
    <cellStyle name="Обычный 3 9 6 2 4" xfId="1487"/>
    <cellStyle name="Обычный 3 9 6 3" xfId="687"/>
    <cellStyle name="Обычный 3 9 6 3 2" xfId="2725"/>
    <cellStyle name="Обычный 3 9 6 3 3" xfId="1719"/>
    <cellStyle name="Обычный 3 9 6 4" xfId="2261"/>
    <cellStyle name="Обычный 3 9 6 5" xfId="1255"/>
    <cellStyle name="Обычный 3 9 7" xfId="249"/>
    <cellStyle name="Обычный 3 9 7 2" xfId="481"/>
    <cellStyle name="Обычный 3 9 7 2 2" xfId="945"/>
    <cellStyle name="Обычный 3 9 7 2 2 2" xfId="2983"/>
    <cellStyle name="Обычный 3 9 7 2 2 3" xfId="1977"/>
    <cellStyle name="Обычный 3 9 7 2 3" xfId="2519"/>
    <cellStyle name="Обычный 3 9 7 2 4" xfId="1513"/>
    <cellStyle name="Обычный 3 9 7 3" xfId="713"/>
    <cellStyle name="Обычный 3 9 7 3 2" xfId="2751"/>
    <cellStyle name="Обычный 3 9 7 3 3" xfId="1745"/>
    <cellStyle name="Обычный 3 9 7 4" xfId="2287"/>
    <cellStyle name="Обычный 3 9 7 5" xfId="1281"/>
    <cellStyle name="Обычный 3 9 8" xfId="275"/>
    <cellStyle name="Обычный 3 9 8 2" xfId="507"/>
    <cellStyle name="Обычный 3 9 8 2 2" xfId="971"/>
    <cellStyle name="Обычный 3 9 8 2 2 2" xfId="3009"/>
    <cellStyle name="Обычный 3 9 8 2 2 3" xfId="2003"/>
    <cellStyle name="Обычный 3 9 8 2 3" xfId="2545"/>
    <cellStyle name="Обычный 3 9 8 2 4" xfId="1539"/>
    <cellStyle name="Обычный 3 9 8 3" xfId="739"/>
    <cellStyle name="Обычный 3 9 8 3 2" xfId="2777"/>
    <cellStyle name="Обычный 3 9 8 3 3" xfId="1771"/>
    <cellStyle name="Обычный 3 9 8 4" xfId="2313"/>
    <cellStyle name="Обычный 3 9 8 5" xfId="1307"/>
    <cellStyle name="Обычный 3 9 9" xfId="301"/>
    <cellStyle name="Обычный 3 9 9 2" xfId="533"/>
    <cellStyle name="Обычный 3 9 9 2 2" xfId="997"/>
    <cellStyle name="Обычный 3 9 9 2 2 2" xfId="3035"/>
    <cellStyle name="Обычный 3 9 9 2 2 3" xfId="2029"/>
    <cellStyle name="Обычный 3 9 9 2 3" xfId="2571"/>
    <cellStyle name="Обычный 3 9 9 2 4" xfId="1565"/>
    <cellStyle name="Обычный 3 9 9 3" xfId="765"/>
    <cellStyle name="Обычный 3 9 9 3 2" xfId="2803"/>
    <cellStyle name="Обычный 3 9 9 3 3" xfId="1797"/>
    <cellStyle name="Обычный 3 9 9 4" xfId="2339"/>
    <cellStyle name="Обычный 3 9 9 5" xfId="1333"/>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02"/>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243417</xdr:colOff>
      <xdr:row>7</xdr:row>
      <xdr:rowOff>20783</xdr:rowOff>
    </xdr:from>
    <xdr:to>
      <xdr:col>7</xdr:col>
      <xdr:colOff>52916</xdr:colOff>
      <xdr:row>12</xdr:row>
      <xdr:rowOff>247650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806017" y="1620983"/>
          <a:ext cx="2971799" cy="1617517"/>
        </a:xfrm>
        <a:prstGeom prst="rect">
          <a:avLst/>
        </a:prstGeom>
        <a:solidFill>
          <a:srgbClr val="FFFFFF"/>
        </a:solidFill>
        <a:ln w="9525">
          <a:noFill/>
          <a:miter lim="800000"/>
          <a:headEnd/>
          <a:tailEnd/>
        </a:ln>
      </xdr:spPr>
      <xdr:txBody>
        <a:bodyPr vertOverflow="clip" wrap="square" lIns="36576" tIns="32004" rIns="36576" bIns="0" anchor="t" upright="1"/>
        <a:lstStyle/>
        <a:p>
          <a:pPr rtl="0"/>
          <a:r>
            <a:rPr lang="ru-RU" sz="1400">
              <a:effectLst/>
              <a:latin typeface="Times New Roman" pitchFamily="18" charset="0"/>
              <a:ea typeface="+mn-ea"/>
              <a:cs typeface="Times New Roman" pitchFamily="18" charset="0"/>
            </a:rPr>
            <a:t>«</a:t>
          </a:r>
          <a:r>
            <a:rPr lang="ru-RU" sz="1400" b="0" i="0" baseline="0">
              <a:effectLst/>
              <a:latin typeface="Times New Roman" pitchFamily="18" charset="0"/>
              <a:ea typeface="+mn-ea"/>
              <a:cs typeface="Times New Roman" pitchFamily="18" charset="0"/>
            </a:rPr>
            <a:t>Приложение 8</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к решению Совета</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муниципального образования</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Туапсинский муниципальный округ Краснодарского края</a:t>
          </a:r>
          <a:endParaRPr lang="ru-RU" sz="1400">
            <a:effectLst/>
            <a:latin typeface="Times New Roman" pitchFamily="18" charset="0"/>
            <a:cs typeface="Times New Roman" pitchFamily="18" charset="0"/>
          </a:endParaRP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лужение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1</xdr:col>
      <xdr:colOff>257175</xdr:colOff>
      <xdr:row>0</xdr:row>
      <xdr:rowOff>0</xdr:rowOff>
    </xdr:from>
    <xdr:to>
      <xdr:col>7</xdr:col>
      <xdr:colOff>226483</xdr:colOff>
      <xdr:row>6</xdr:row>
      <xdr:rowOff>144780</xdr:rowOff>
    </xdr:to>
    <xdr:sp macro="" textlink="">
      <xdr:nvSpPr>
        <xdr:cNvPr id="6" name="Text Box 2"/>
        <xdr:cNvSpPr txBox="1">
          <a:spLocks noChangeArrowheads="1"/>
        </xdr:cNvSpPr>
      </xdr:nvSpPr>
      <xdr:spPr bwMode="auto">
        <a:xfrm>
          <a:off x="5819775" y="0"/>
          <a:ext cx="3131608" cy="15163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8</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pPr marL="0" marR="0" indent="0" defTabSz="914400" rtl="0" eaLnBrk="1" fontAlgn="auto" latinLnBrk="0" hangingPunct="1">
            <a:lnSpc>
              <a:spcPct val="100000"/>
            </a:lnSpc>
            <a:spcBef>
              <a:spcPts val="0"/>
            </a:spcBef>
            <a:spcAft>
              <a:spcPts val="0"/>
            </a:spcAft>
            <a:buClrTx/>
            <a:buSzTx/>
            <a:buFontTx/>
            <a:buNone/>
            <a:tabLst/>
            <a:defRPr/>
          </a:pPr>
          <a:r>
            <a:rPr lang="ru-RU" sz="1400" b="0" i="0" baseline="0">
              <a:effectLst/>
              <a:latin typeface="Times New Roman" pitchFamily="18" charset="0"/>
              <a:ea typeface="+mn-ea"/>
              <a:cs typeface="Times New Roman" pitchFamily="18" charset="0"/>
            </a:rPr>
            <a:t>от 27.02.2026</a:t>
          </a:r>
          <a:r>
            <a:rPr lang="en-US" sz="1400" b="0" i="0" baseline="0">
              <a:effectLst/>
              <a:latin typeface="Times New Roman" pitchFamily="18" charset="0"/>
              <a:ea typeface="+mn-ea"/>
              <a:cs typeface="Times New Roman" pitchFamily="18" charset="0"/>
            </a:rPr>
            <a:t> </a:t>
          </a:r>
          <a:r>
            <a:rPr lang="ru-RU" sz="1400" b="0" i="0" baseline="0">
              <a:effectLst/>
              <a:latin typeface="Times New Roman" pitchFamily="18" charset="0"/>
              <a:ea typeface="+mn-ea"/>
              <a:cs typeface="Times New Roman" pitchFamily="18" charset="0"/>
            </a:rPr>
            <a:t> № 377</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55" t="s">
        <v>494</v>
      </c>
      <c r="B9" s="156"/>
      <c r="C9" s="156"/>
      <c r="D9" s="156"/>
      <c r="E9" s="156"/>
      <c r="F9" s="156"/>
      <c r="G9" s="156"/>
    </row>
    <row r="10" spans="1:15" ht="26.4" customHeight="1" x14ac:dyDescent="0.35">
      <c r="A10" s="64"/>
      <c r="B10" s="65"/>
      <c r="C10" s="66"/>
      <c r="D10" s="65"/>
      <c r="E10" s="65"/>
      <c r="F10" s="66"/>
      <c r="G10" s="61" t="s">
        <v>32</v>
      </c>
      <c r="K10" s="2"/>
    </row>
    <row r="11" spans="1:15" ht="24.75" customHeight="1" x14ac:dyDescent="0.25">
      <c r="A11" s="157" t="s">
        <v>14</v>
      </c>
      <c r="B11" s="157" t="s">
        <v>13</v>
      </c>
      <c r="C11" s="157"/>
      <c r="D11" s="157"/>
      <c r="E11" s="157"/>
      <c r="F11" s="157"/>
      <c r="G11" s="158" t="s">
        <v>38</v>
      </c>
      <c r="O11" s="17"/>
    </row>
    <row r="12" spans="1:15" x14ac:dyDescent="0.25">
      <c r="A12" s="157"/>
      <c r="B12" s="157" t="s">
        <v>11</v>
      </c>
      <c r="C12" s="157"/>
      <c r="D12" s="157"/>
      <c r="E12" s="157"/>
      <c r="F12" s="67" t="s">
        <v>12</v>
      </c>
      <c r="G12" s="158"/>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59" t="s">
        <v>350</v>
      </c>
      <c r="B772" s="159"/>
      <c r="C772" s="10"/>
      <c r="D772" s="9"/>
      <c r="E772" s="50"/>
      <c r="F772" s="50"/>
      <c r="G772" s="50"/>
    </row>
    <row r="773" spans="1:7" s="2" customFormat="1" ht="18" customHeight="1" x14ac:dyDescent="0.35">
      <c r="A773" s="160" t="s">
        <v>334</v>
      </c>
      <c r="B773" s="160"/>
      <c r="C773" s="10"/>
      <c r="D773" s="9"/>
      <c r="E773" s="9"/>
      <c r="F773" s="9"/>
      <c r="G773" s="50"/>
    </row>
    <row r="774" spans="1:7" s="2" customFormat="1" ht="17.25" customHeight="1" x14ac:dyDescent="0.35">
      <c r="A774" s="161" t="s">
        <v>335</v>
      </c>
      <c r="B774" s="161"/>
      <c r="C774" s="10"/>
      <c r="D774" s="9"/>
      <c r="F774" s="154" t="s">
        <v>349</v>
      </c>
      <c r="G774" s="154"/>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64" t="s">
        <v>494</v>
      </c>
      <c r="B9" s="165"/>
      <c r="C9" s="165"/>
      <c r="D9" s="165"/>
      <c r="E9" s="165"/>
      <c r="F9" s="165"/>
      <c r="G9" s="165"/>
    </row>
    <row r="10" spans="1:15" ht="26.4" customHeight="1" x14ac:dyDescent="0.35">
      <c r="A10" s="19"/>
      <c r="B10" s="20"/>
      <c r="C10" s="21"/>
      <c r="D10" s="20"/>
      <c r="E10" s="20"/>
      <c r="F10" s="21"/>
      <c r="G10" s="22" t="s">
        <v>32</v>
      </c>
      <c r="K10" s="2"/>
    </row>
    <row r="11" spans="1:15" ht="24.75" customHeight="1" x14ac:dyDescent="0.25">
      <c r="A11" s="166" t="s">
        <v>14</v>
      </c>
      <c r="B11" s="166" t="s">
        <v>13</v>
      </c>
      <c r="C11" s="166"/>
      <c r="D11" s="166"/>
      <c r="E11" s="166"/>
      <c r="F11" s="166"/>
      <c r="G11" s="167" t="s">
        <v>38</v>
      </c>
      <c r="O11" s="17"/>
    </row>
    <row r="12" spans="1:15" x14ac:dyDescent="0.25">
      <c r="A12" s="166"/>
      <c r="B12" s="166" t="s">
        <v>11</v>
      </c>
      <c r="C12" s="166"/>
      <c r="D12" s="166"/>
      <c r="E12" s="166"/>
      <c r="F12" s="23" t="s">
        <v>12</v>
      </c>
      <c r="G12" s="167"/>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68" t="s">
        <v>350</v>
      </c>
      <c r="B696" s="168"/>
      <c r="C696" s="10"/>
      <c r="D696" s="9"/>
      <c r="E696" s="50"/>
      <c r="F696" s="50"/>
      <c r="G696" s="50"/>
    </row>
    <row r="697" spans="1:7" s="2" customFormat="1" ht="18" customHeight="1" x14ac:dyDescent="0.35">
      <c r="A697" s="162" t="s">
        <v>334</v>
      </c>
      <c r="B697" s="162"/>
      <c r="C697" s="10"/>
      <c r="D697" s="9"/>
      <c r="E697" s="9"/>
      <c r="F697" s="9"/>
      <c r="G697" s="50"/>
    </row>
    <row r="698" spans="1:7" s="2" customFormat="1" ht="17.25" customHeight="1" x14ac:dyDescent="0.35">
      <c r="A698" s="163" t="s">
        <v>335</v>
      </c>
      <c r="B698" s="163"/>
      <c r="C698" s="10"/>
      <c r="D698" s="9"/>
      <c r="F698" s="154" t="s">
        <v>349</v>
      </c>
      <c r="G698" s="154"/>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O1104"/>
  <sheetViews>
    <sheetView showGridLines="0" tabSelected="1" view="pageBreakPreview" zoomScaleNormal="90" zoomScaleSheetLayoutView="100" workbookViewId="0">
      <selection activeCell="A676" sqref="A676"/>
    </sheetView>
  </sheetViews>
  <sheetFormatPr defaultColWidth="9.109375" defaultRowHeight="17.399999999999999" x14ac:dyDescent="0.25"/>
  <cols>
    <col min="1" max="1" width="83.44140625" style="103" customWidth="1"/>
    <col min="2" max="2" width="7.109375" style="92" customWidth="1"/>
    <col min="3" max="3" width="5" style="93" customWidth="1"/>
    <col min="4" max="4" width="7.109375" style="92" customWidth="1"/>
    <col min="5" max="5" width="7.44140625" style="92" customWidth="1"/>
    <col min="6" max="6" width="5.44140625" style="92" customWidth="1"/>
    <col min="7" max="7" width="15.33203125" style="8" customWidth="1"/>
    <col min="8" max="8" width="21.6640625" style="94" customWidth="1"/>
    <col min="9" max="9" width="17.88671875" style="94" customWidth="1"/>
    <col min="10" max="10" width="20.6640625" style="94" customWidth="1"/>
    <col min="11" max="11" width="4.44140625" style="94" customWidth="1"/>
    <col min="12" max="12" width="20.109375" style="94" customWidth="1"/>
    <col min="13" max="14" width="9.109375" style="94"/>
    <col min="15" max="15" width="16.109375" style="94" bestFit="1" customWidth="1"/>
    <col min="16" max="16384" width="9.109375" style="94"/>
  </cols>
  <sheetData>
    <row r="8" spans="1:15" ht="27" customHeight="1" x14ac:dyDescent="0.25"/>
    <row r="9" spans="1:15" ht="12" customHeight="1" x14ac:dyDescent="0.25"/>
    <row r="10" spans="1:15" ht="20.399999999999999" customHeight="1" x14ac:dyDescent="0.25"/>
    <row r="12" spans="1:15" ht="32.4" customHeight="1" x14ac:dyDescent="0.25"/>
    <row r="13" spans="1:15" ht="32.4" customHeight="1" x14ac:dyDescent="0.25"/>
    <row r="14" spans="1:15" ht="95.25" customHeight="1" x14ac:dyDescent="0.3">
      <c r="A14" s="164" t="s">
        <v>660</v>
      </c>
      <c r="B14" s="165"/>
      <c r="C14" s="165"/>
      <c r="D14" s="165"/>
      <c r="E14" s="165"/>
      <c r="F14" s="165"/>
      <c r="G14" s="165"/>
      <c r="H14" s="96"/>
      <c r="I14" s="96"/>
    </row>
    <row r="15" spans="1:15" ht="24" customHeight="1" x14ac:dyDescent="0.35">
      <c r="A15" s="104"/>
      <c r="B15" s="20"/>
      <c r="C15" s="21"/>
      <c r="D15" s="20"/>
      <c r="E15" s="20"/>
      <c r="F15" s="21"/>
      <c r="G15" s="61" t="s">
        <v>32</v>
      </c>
      <c r="H15" s="96"/>
      <c r="K15" s="95"/>
    </row>
    <row r="16" spans="1:15" ht="32.25" customHeight="1" x14ac:dyDescent="0.25">
      <c r="A16" s="170" t="s">
        <v>14</v>
      </c>
      <c r="B16" s="166" t="s">
        <v>13</v>
      </c>
      <c r="C16" s="166"/>
      <c r="D16" s="166"/>
      <c r="E16" s="166"/>
      <c r="F16" s="166"/>
      <c r="G16" s="158" t="s">
        <v>38</v>
      </c>
      <c r="H16" s="95"/>
      <c r="I16" s="95"/>
      <c r="O16" s="96"/>
    </row>
    <row r="17" spans="1:12" x14ac:dyDescent="0.25">
      <c r="A17" s="171"/>
      <c r="B17" s="166" t="s">
        <v>11</v>
      </c>
      <c r="C17" s="166"/>
      <c r="D17" s="166"/>
      <c r="E17" s="166"/>
      <c r="F17" s="23" t="s">
        <v>12</v>
      </c>
      <c r="G17" s="158"/>
      <c r="L17" s="96"/>
    </row>
    <row r="18" spans="1:12" s="93" customFormat="1" x14ac:dyDescent="0.25">
      <c r="A18" s="107">
        <v>1</v>
      </c>
      <c r="B18" s="107">
        <v>2</v>
      </c>
      <c r="C18" s="107">
        <v>3</v>
      </c>
      <c r="D18" s="107">
        <v>4</v>
      </c>
      <c r="E18" s="107">
        <v>5</v>
      </c>
      <c r="F18" s="107">
        <v>6</v>
      </c>
      <c r="G18" s="62">
        <v>7</v>
      </c>
      <c r="J18" s="97"/>
      <c r="L18" s="98"/>
    </row>
    <row r="19" spans="1:12" ht="18" customHeight="1" x14ac:dyDescent="0.25">
      <c r="A19" s="27" t="s">
        <v>15</v>
      </c>
      <c r="B19" s="23"/>
      <c r="C19" s="107"/>
      <c r="D19" s="23"/>
      <c r="E19" s="23"/>
      <c r="F19" s="107"/>
      <c r="G19" s="149">
        <f>SUM(G20+G121+G166+G173+G230+G266+G328+G348+G377+G465+G514+G537+G550+G556+G570+G616+G620+G625+G678+G583+G443+G402+G672+G667+G370+G509+G607+G656+G661)</f>
        <v>9349502.3000000007</v>
      </c>
      <c r="H19" s="95"/>
      <c r="I19" s="96"/>
      <c r="J19" s="99"/>
      <c r="L19" s="96"/>
    </row>
    <row r="20" spans="1:12" s="95" customFormat="1" ht="19.95" customHeight="1" x14ac:dyDescent="0.25">
      <c r="A20" s="31" t="s">
        <v>364</v>
      </c>
      <c r="B20" s="13" t="s">
        <v>0</v>
      </c>
      <c r="C20" s="13"/>
      <c r="D20" s="13"/>
      <c r="E20" s="13"/>
      <c r="F20" s="14"/>
      <c r="G20" s="149">
        <f>SUM(G21)</f>
        <v>3208661.2</v>
      </c>
      <c r="H20" s="99"/>
      <c r="J20" s="99"/>
    </row>
    <row r="21" spans="1:12" s="95" customFormat="1" ht="21" customHeight="1" x14ac:dyDescent="0.25">
      <c r="A21" s="31" t="s">
        <v>365</v>
      </c>
      <c r="B21" s="13" t="s">
        <v>0</v>
      </c>
      <c r="C21" s="13" t="s">
        <v>58</v>
      </c>
      <c r="D21" s="13"/>
      <c r="E21" s="13"/>
      <c r="F21" s="14"/>
      <c r="G21" s="149">
        <f>SUM(G22+G81+G51+G27+G58+G89+G95+G98+G101+G104+G111+G114)</f>
        <v>3208661.2</v>
      </c>
    </row>
    <row r="22" spans="1:12" s="95" customFormat="1" ht="67.5" customHeight="1" x14ac:dyDescent="0.25">
      <c r="A22" s="31" t="s">
        <v>425</v>
      </c>
      <c r="B22" s="13" t="s">
        <v>0</v>
      </c>
      <c r="C22" s="13" t="s">
        <v>58</v>
      </c>
      <c r="D22" s="13" t="s">
        <v>0</v>
      </c>
      <c r="E22" s="13"/>
      <c r="F22" s="14"/>
      <c r="G22" s="149">
        <f>SUM(G25+G23)</f>
        <v>54124.899999999994</v>
      </c>
    </row>
    <row r="23" spans="1:12" s="95" customFormat="1" ht="31.5" customHeight="1" x14ac:dyDescent="0.25">
      <c r="A23" s="31" t="s">
        <v>564</v>
      </c>
      <c r="B23" s="13" t="s">
        <v>0</v>
      </c>
      <c r="C23" s="13" t="s">
        <v>58</v>
      </c>
      <c r="D23" s="13" t="s">
        <v>0</v>
      </c>
      <c r="E23" s="13" t="s">
        <v>546</v>
      </c>
      <c r="F23" s="14"/>
      <c r="G23" s="149">
        <f>G24</f>
        <v>52268.299999999996</v>
      </c>
    </row>
    <row r="24" spans="1:12" s="95" customFormat="1" ht="31.5" customHeight="1" x14ac:dyDescent="0.25">
      <c r="A24" s="30" t="s">
        <v>116</v>
      </c>
      <c r="B24" s="13" t="s">
        <v>0</v>
      </c>
      <c r="C24" s="13" t="s">
        <v>58</v>
      </c>
      <c r="D24" s="13" t="s">
        <v>0</v>
      </c>
      <c r="E24" s="13" t="s">
        <v>546</v>
      </c>
      <c r="F24" s="14" t="s">
        <v>111</v>
      </c>
      <c r="G24" s="131">
        <f>18241+16530.7+4218.2+2893.3+982.5+9402.6</f>
        <v>52268.299999999996</v>
      </c>
    </row>
    <row r="25" spans="1:12" s="95" customFormat="1" ht="31.5" customHeight="1" x14ac:dyDescent="0.25">
      <c r="A25" s="31" t="s">
        <v>318</v>
      </c>
      <c r="B25" s="13" t="s">
        <v>0</v>
      </c>
      <c r="C25" s="13" t="s">
        <v>58</v>
      </c>
      <c r="D25" s="13" t="s">
        <v>0</v>
      </c>
      <c r="E25" s="13" t="s">
        <v>317</v>
      </c>
      <c r="F25" s="14"/>
      <c r="G25" s="149">
        <f>G26</f>
        <v>1856.6</v>
      </c>
    </row>
    <row r="26" spans="1:12" s="95" customFormat="1" ht="31.5" customHeight="1" x14ac:dyDescent="0.25">
      <c r="A26" s="30" t="s">
        <v>116</v>
      </c>
      <c r="B26" s="13" t="s">
        <v>0</v>
      </c>
      <c r="C26" s="13" t="s">
        <v>58</v>
      </c>
      <c r="D26" s="13" t="s">
        <v>0</v>
      </c>
      <c r="E26" s="13" t="s">
        <v>317</v>
      </c>
      <c r="F26" s="14" t="s">
        <v>111</v>
      </c>
      <c r="G26" s="149">
        <f>1856.6</f>
        <v>1856.6</v>
      </c>
    </row>
    <row r="27" spans="1:12" ht="47.25" customHeight="1" x14ac:dyDescent="0.25">
      <c r="A27" s="31" t="s">
        <v>85</v>
      </c>
      <c r="B27" s="13" t="s">
        <v>0</v>
      </c>
      <c r="C27" s="13" t="s">
        <v>58</v>
      </c>
      <c r="D27" s="13" t="s">
        <v>1</v>
      </c>
      <c r="E27" s="13"/>
      <c r="F27" s="14"/>
      <c r="G27" s="149">
        <f>SUM(G32+G44+G48+G28+G42+G40+G38)</f>
        <v>2689813.3000000003</v>
      </c>
    </row>
    <row r="28" spans="1:12" ht="21" customHeight="1" x14ac:dyDescent="0.25">
      <c r="A28" s="31" t="s">
        <v>105</v>
      </c>
      <c r="B28" s="13" t="s">
        <v>0</v>
      </c>
      <c r="C28" s="13" t="s">
        <v>58</v>
      </c>
      <c r="D28" s="13" t="s">
        <v>1</v>
      </c>
      <c r="E28" s="13" t="s">
        <v>41</v>
      </c>
      <c r="F28" s="14"/>
      <c r="G28" s="149">
        <f>SUM(G29:G31)</f>
        <v>4087.2000000000007</v>
      </c>
    </row>
    <row r="29" spans="1:12" ht="47.25" customHeight="1" x14ac:dyDescent="0.25">
      <c r="A29" s="29" t="s">
        <v>114</v>
      </c>
      <c r="B29" s="13" t="s">
        <v>0</v>
      </c>
      <c r="C29" s="13" t="s">
        <v>58</v>
      </c>
      <c r="D29" s="13" t="s">
        <v>1</v>
      </c>
      <c r="E29" s="13" t="s">
        <v>41</v>
      </c>
      <c r="F29" s="14" t="s">
        <v>19</v>
      </c>
      <c r="G29" s="149">
        <f>9227.7-6155.8+1009.3</f>
        <v>4081.2000000000007</v>
      </c>
    </row>
    <row r="30" spans="1:12" s="95" customFormat="1" ht="34.5" customHeight="1" x14ac:dyDescent="0.25">
      <c r="A30" s="29" t="s">
        <v>115</v>
      </c>
      <c r="B30" s="13" t="s">
        <v>0</v>
      </c>
      <c r="C30" s="13" t="s">
        <v>58</v>
      </c>
      <c r="D30" s="13" t="s">
        <v>1</v>
      </c>
      <c r="E30" s="13" t="s">
        <v>41</v>
      </c>
      <c r="F30" s="14" t="s">
        <v>20</v>
      </c>
      <c r="G30" s="149">
        <v>5</v>
      </c>
    </row>
    <row r="31" spans="1:12" s="95" customFormat="1" ht="19.2" customHeight="1" x14ac:dyDescent="0.25">
      <c r="A31" s="29" t="s">
        <v>21</v>
      </c>
      <c r="B31" s="13" t="s">
        <v>0</v>
      </c>
      <c r="C31" s="13" t="s">
        <v>58</v>
      </c>
      <c r="D31" s="13" t="s">
        <v>1</v>
      </c>
      <c r="E31" s="13" t="s">
        <v>41</v>
      </c>
      <c r="F31" s="14" t="s">
        <v>22</v>
      </c>
      <c r="G31" s="149">
        <v>1</v>
      </c>
    </row>
    <row r="32" spans="1:12" s="95" customFormat="1" ht="47.25" customHeight="1" x14ac:dyDescent="0.25">
      <c r="A32" s="31" t="s">
        <v>87</v>
      </c>
      <c r="B32" s="13" t="s">
        <v>0</v>
      </c>
      <c r="C32" s="13" t="s">
        <v>58</v>
      </c>
      <c r="D32" s="13" t="s">
        <v>1</v>
      </c>
      <c r="E32" s="13" t="s">
        <v>51</v>
      </c>
      <c r="F32" s="14"/>
      <c r="G32" s="149">
        <f>SUM(G33:G37)</f>
        <v>676482.1</v>
      </c>
    </row>
    <row r="33" spans="1:7" s="95" customFormat="1" ht="50.25" customHeight="1" x14ac:dyDescent="0.25">
      <c r="A33" s="29" t="s">
        <v>114</v>
      </c>
      <c r="B33" s="13" t="s">
        <v>0</v>
      </c>
      <c r="C33" s="13" t="s">
        <v>58</v>
      </c>
      <c r="D33" s="13" t="s">
        <v>1</v>
      </c>
      <c r="E33" s="13" t="s">
        <v>51</v>
      </c>
      <c r="F33" s="14" t="s">
        <v>19</v>
      </c>
      <c r="G33" s="149">
        <f>89454.4+4985.6-1009.3</f>
        <v>93430.7</v>
      </c>
    </row>
    <row r="34" spans="1:7" s="95" customFormat="1" ht="22.5" customHeight="1" x14ac:dyDescent="0.25">
      <c r="A34" s="29" t="s">
        <v>115</v>
      </c>
      <c r="B34" s="13" t="s">
        <v>0</v>
      </c>
      <c r="C34" s="13" t="s">
        <v>58</v>
      </c>
      <c r="D34" s="13" t="s">
        <v>1</v>
      </c>
      <c r="E34" s="13" t="s">
        <v>51</v>
      </c>
      <c r="F34" s="14" t="s">
        <v>20</v>
      </c>
      <c r="G34" s="149">
        <f>13153.9+316.3+4.7</f>
        <v>13474.9</v>
      </c>
    </row>
    <row r="35" spans="1:7" s="95" customFormat="1" ht="20.399999999999999" customHeight="1" x14ac:dyDescent="0.25">
      <c r="A35" s="29" t="s">
        <v>117</v>
      </c>
      <c r="B35" s="13" t="s">
        <v>0</v>
      </c>
      <c r="C35" s="13" t="s">
        <v>58</v>
      </c>
      <c r="D35" s="13" t="s">
        <v>1</v>
      </c>
      <c r="E35" s="13" t="s">
        <v>51</v>
      </c>
      <c r="F35" s="14" t="s">
        <v>109</v>
      </c>
      <c r="G35" s="149"/>
    </row>
    <row r="36" spans="1:7" s="95" customFormat="1" ht="31.95" customHeight="1" x14ac:dyDescent="0.25">
      <c r="A36" s="30" t="s">
        <v>116</v>
      </c>
      <c r="B36" s="13" t="s">
        <v>0</v>
      </c>
      <c r="C36" s="13" t="s">
        <v>58</v>
      </c>
      <c r="D36" s="13" t="s">
        <v>1</v>
      </c>
      <c r="E36" s="13" t="s">
        <v>51</v>
      </c>
      <c r="F36" s="14" t="s">
        <v>111</v>
      </c>
      <c r="G36" s="149">
        <f>324713.2+208098.3+35002+1700</f>
        <v>569513.5</v>
      </c>
    </row>
    <row r="37" spans="1:7" s="95" customFormat="1" ht="18" customHeight="1" x14ac:dyDescent="0.25">
      <c r="A37" s="29" t="s">
        <v>21</v>
      </c>
      <c r="B37" s="13" t="s">
        <v>0</v>
      </c>
      <c r="C37" s="13" t="s">
        <v>58</v>
      </c>
      <c r="D37" s="13" t="s">
        <v>1</v>
      </c>
      <c r="E37" s="13" t="s">
        <v>51</v>
      </c>
      <c r="F37" s="14" t="s">
        <v>22</v>
      </c>
      <c r="G37" s="149">
        <v>63</v>
      </c>
    </row>
    <row r="38" spans="1:7" ht="16.2" customHeight="1" x14ac:dyDescent="0.25">
      <c r="A38" s="29" t="s">
        <v>682</v>
      </c>
      <c r="B38" s="13" t="s">
        <v>0</v>
      </c>
      <c r="C38" s="13" t="s">
        <v>58</v>
      </c>
      <c r="D38" s="13" t="s">
        <v>1</v>
      </c>
      <c r="E38" s="13" t="s">
        <v>183</v>
      </c>
      <c r="F38" s="14"/>
      <c r="G38" s="149">
        <f>G39</f>
        <v>4363.8999999999996</v>
      </c>
    </row>
    <row r="39" spans="1:7" ht="31.5" customHeight="1" x14ac:dyDescent="0.25">
      <c r="A39" s="30" t="s">
        <v>116</v>
      </c>
      <c r="B39" s="13" t="s">
        <v>0</v>
      </c>
      <c r="C39" s="13" t="s">
        <v>58</v>
      </c>
      <c r="D39" s="13" t="s">
        <v>1</v>
      </c>
      <c r="E39" s="13" t="s">
        <v>183</v>
      </c>
      <c r="F39" s="14" t="s">
        <v>111</v>
      </c>
      <c r="G39" s="149">
        <f>1712.3+1100+1035.7+515.9</f>
        <v>4363.8999999999996</v>
      </c>
    </row>
    <row r="40" spans="1:7" ht="16.95" customHeight="1" x14ac:dyDescent="0.25">
      <c r="A40" s="29" t="s">
        <v>228</v>
      </c>
      <c r="B40" s="13" t="s">
        <v>0</v>
      </c>
      <c r="C40" s="25">
        <v>1</v>
      </c>
      <c r="D40" s="13" t="s">
        <v>1</v>
      </c>
      <c r="E40" s="13" t="s">
        <v>229</v>
      </c>
      <c r="F40" s="13"/>
      <c r="G40" s="149">
        <f>SUM(G41)</f>
        <v>26</v>
      </c>
    </row>
    <row r="41" spans="1:7" ht="33" customHeight="1" x14ac:dyDescent="0.25">
      <c r="A41" s="29" t="s">
        <v>115</v>
      </c>
      <c r="B41" s="13" t="s">
        <v>0</v>
      </c>
      <c r="C41" s="25">
        <v>1</v>
      </c>
      <c r="D41" s="13" t="s">
        <v>1</v>
      </c>
      <c r="E41" s="13" t="s">
        <v>229</v>
      </c>
      <c r="F41" s="13" t="s">
        <v>20</v>
      </c>
      <c r="G41" s="149">
        <v>26</v>
      </c>
    </row>
    <row r="42" spans="1:7" ht="16.95" customHeight="1" x14ac:dyDescent="0.25">
      <c r="A42" s="29" t="s">
        <v>234</v>
      </c>
      <c r="B42" s="13" t="s">
        <v>0</v>
      </c>
      <c r="C42" s="13" t="s">
        <v>58</v>
      </c>
      <c r="D42" s="13" t="s">
        <v>1</v>
      </c>
      <c r="E42" s="13" t="s">
        <v>235</v>
      </c>
      <c r="F42" s="14"/>
      <c r="G42" s="149">
        <f>SUM(G43)</f>
        <v>32.5</v>
      </c>
    </row>
    <row r="43" spans="1:7" ht="20.25" customHeight="1" x14ac:dyDescent="0.25">
      <c r="A43" s="29" t="s">
        <v>115</v>
      </c>
      <c r="B43" s="13" t="s">
        <v>0</v>
      </c>
      <c r="C43" s="13" t="s">
        <v>58</v>
      </c>
      <c r="D43" s="13" t="s">
        <v>1</v>
      </c>
      <c r="E43" s="13" t="s">
        <v>235</v>
      </c>
      <c r="F43" s="14" t="s">
        <v>20</v>
      </c>
      <c r="G43" s="149">
        <v>32.5</v>
      </c>
    </row>
    <row r="44" spans="1:7" ht="66" customHeight="1" x14ac:dyDescent="0.25">
      <c r="A44" s="120" t="s">
        <v>186</v>
      </c>
      <c r="B44" s="13" t="s">
        <v>0</v>
      </c>
      <c r="C44" s="13" t="s">
        <v>58</v>
      </c>
      <c r="D44" s="13" t="s">
        <v>1</v>
      </c>
      <c r="E44" s="13" t="s">
        <v>92</v>
      </c>
      <c r="F44" s="14"/>
      <c r="G44" s="149">
        <f>SUM(G45:G47)</f>
        <v>15250.900000000001</v>
      </c>
    </row>
    <row r="45" spans="1:7" ht="48" customHeight="1" x14ac:dyDescent="0.25">
      <c r="A45" s="29" t="s">
        <v>114</v>
      </c>
      <c r="B45" s="13" t="s">
        <v>0</v>
      </c>
      <c r="C45" s="13" t="s">
        <v>58</v>
      </c>
      <c r="D45" s="13" t="s">
        <v>1</v>
      </c>
      <c r="E45" s="13" t="s">
        <v>92</v>
      </c>
      <c r="F45" s="14" t="s">
        <v>19</v>
      </c>
      <c r="G45" s="149">
        <v>73.2</v>
      </c>
    </row>
    <row r="46" spans="1:7" ht="32.25" customHeight="1" x14ac:dyDescent="0.25">
      <c r="A46" s="29" t="s">
        <v>107</v>
      </c>
      <c r="B46" s="13" t="s">
        <v>0</v>
      </c>
      <c r="C46" s="13" t="s">
        <v>58</v>
      </c>
      <c r="D46" s="13" t="s">
        <v>1</v>
      </c>
      <c r="E46" s="13" t="s">
        <v>92</v>
      </c>
      <c r="F46" s="14" t="s">
        <v>20</v>
      </c>
      <c r="G46" s="149">
        <v>153.5</v>
      </c>
    </row>
    <row r="47" spans="1:7" ht="20.399999999999999" customHeight="1" x14ac:dyDescent="0.25">
      <c r="A47" s="29" t="s">
        <v>108</v>
      </c>
      <c r="B47" s="13" t="s">
        <v>0</v>
      </c>
      <c r="C47" s="13" t="s">
        <v>58</v>
      </c>
      <c r="D47" s="13" t="s">
        <v>1</v>
      </c>
      <c r="E47" s="13" t="s">
        <v>92</v>
      </c>
      <c r="F47" s="14" t="s">
        <v>109</v>
      </c>
      <c r="G47" s="149">
        <v>15024.2</v>
      </c>
    </row>
    <row r="48" spans="1:7" ht="64.5" customHeight="1" x14ac:dyDescent="0.25">
      <c r="A48" s="120" t="s">
        <v>187</v>
      </c>
      <c r="B48" s="13" t="s">
        <v>0</v>
      </c>
      <c r="C48" s="13" t="s">
        <v>58</v>
      </c>
      <c r="D48" s="13" t="s">
        <v>1</v>
      </c>
      <c r="E48" s="13" t="s">
        <v>86</v>
      </c>
      <c r="F48" s="14"/>
      <c r="G48" s="149">
        <f>SUM(G49:G50)</f>
        <v>1989570.7</v>
      </c>
    </row>
    <row r="49" spans="1:7" ht="49.2" customHeight="1" x14ac:dyDescent="0.25">
      <c r="A49" s="29" t="s">
        <v>114</v>
      </c>
      <c r="B49" s="13" t="s">
        <v>0</v>
      </c>
      <c r="C49" s="13" t="s">
        <v>58</v>
      </c>
      <c r="D49" s="13" t="s">
        <v>1</v>
      </c>
      <c r="E49" s="13" t="s">
        <v>86</v>
      </c>
      <c r="F49" s="14" t="s">
        <v>19</v>
      </c>
      <c r="G49" s="149">
        <v>29402.5</v>
      </c>
    </row>
    <row r="50" spans="1:7" ht="30.75" customHeight="1" x14ac:dyDescent="0.25">
      <c r="A50" s="30" t="s">
        <v>116</v>
      </c>
      <c r="B50" s="13" t="s">
        <v>0</v>
      </c>
      <c r="C50" s="13" t="s">
        <v>58</v>
      </c>
      <c r="D50" s="13" t="s">
        <v>1</v>
      </c>
      <c r="E50" s="13" t="s">
        <v>86</v>
      </c>
      <c r="F50" s="14" t="s">
        <v>111</v>
      </c>
      <c r="G50" s="149">
        <v>1960168.2</v>
      </c>
    </row>
    <row r="51" spans="1:7" s="95" customFormat="1" ht="32.25" customHeight="1" x14ac:dyDescent="0.25">
      <c r="A51" s="31" t="s">
        <v>662</v>
      </c>
      <c r="B51" s="13" t="s">
        <v>0</v>
      </c>
      <c r="C51" s="13" t="s">
        <v>58</v>
      </c>
      <c r="D51" s="13" t="s">
        <v>2</v>
      </c>
      <c r="E51" s="13"/>
      <c r="F51" s="14"/>
      <c r="G51" s="149">
        <f>SUM(G52+G55)</f>
        <v>1875.7</v>
      </c>
    </row>
    <row r="52" spans="1:7" s="95" customFormat="1" ht="19.5" customHeight="1" x14ac:dyDescent="0.25">
      <c r="A52" s="31" t="s">
        <v>366</v>
      </c>
      <c r="B52" s="13" t="s">
        <v>0</v>
      </c>
      <c r="C52" s="13" t="s">
        <v>58</v>
      </c>
      <c r="D52" s="13" t="s">
        <v>2</v>
      </c>
      <c r="E52" s="13" t="s">
        <v>100</v>
      </c>
      <c r="F52" s="14"/>
      <c r="G52" s="149">
        <f>SUM(G53:G54)</f>
        <v>1200</v>
      </c>
    </row>
    <row r="53" spans="1:7" s="95" customFormat="1" ht="31.5" customHeight="1" x14ac:dyDescent="0.25">
      <c r="A53" s="29" t="s">
        <v>115</v>
      </c>
      <c r="B53" s="13" t="s">
        <v>0</v>
      </c>
      <c r="C53" s="13" t="s">
        <v>58</v>
      </c>
      <c r="D53" s="13" t="s">
        <v>2</v>
      </c>
      <c r="E53" s="13" t="s">
        <v>100</v>
      </c>
      <c r="F53" s="14" t="s">
        <v>20</v>
      </c>
      <c r="G53" s="149">
        <v>1046.8</v>
      </c>
    </row>
    <row r="54" spans="1:7" s="95" customFormat="1" ht="31.5" customHeight="1" x14ac:dyDescent="0.25">
      <c r="A54" s="30" t="s">
        <v>116</v>
      </c>
      <c r="B54" s="13" t="s">
        <v>0</v>
      </c>
      <c r="C54" s="13" t="s">
        <v>58</v>
      </c>
      <c r="D54" s="13" t="s">
        <v>2</v>
      </c>
      <c r="E54" s="13" t="s">
        <v>100</v>
      </c>
      <c r="F54" s="14" t="s">
        <v>111</v>
      </c>
      <c r="G54" s="149">
        <f>153.2</f>
        <v>153.19999999999999</v>
      </c>
    </row>
    <row r="55" spans="1:7" s="95" customFormat="1" ht="40.5" customHeight="1" x14ac:dyDescent="0.25">
      <c r="A55" s="29" t="s">
        <v>648</v>
      </c>
      <c r="B55" s="13" t="s">
        <v>0</v>
      </c>
      <c r="C55" s="13" t="s">
        <v>58</v>
      </c>
      <c r="D55" s="13" t="s">
        <v>2</v>
      </c>
      <c r="E55" s="13" t="s">
        <v>135</v>
      </c>
      <c r="F55" s="14"/>
      <c r="G55" s="149">
        <f>G56+G57</f>
        <v>675.7</v>
      </c>
    </row>
    <row r="56" spans="1:7" s="95" customFormat="1" ht="49.5" customHeight="1" x14ac:dyDescent="0.25">
      <c r="A56" s="118" t="s">
        <v>114</v>
      </c>
      <c r="B56" s="13" t="s">
        <v>0</v>
      </c>
      <c r="C56" s="13" t="s">
        <v>58</v>
      </c>
      <c r="D56" s="13" t="s">
        <v>2</v>
      </c>
      <c r="E56" s="13" t="s">
        <v>135</v>
      </c>
      <c r="F56" s="14" t="s">
        <v>19</v>
      </c>
      <c r="G56" s="149">
        <v>490.9</v>
      </c>
    </row>
    <row r="57" spans="1:7" s="95" customFormat="1" ht="34.5" customHeight="1" x14ac:dyDescent="0.25">
      <c r="A57" s="30" t="s">
        <v>116</v>
      </c>
      <c r="B57" s="13" t="s">
        <v>0</v>
      </c>
      <c r="C57" s="13" t="s">
        <v>58</v>
      </c>
      <c r="D57" s="13" t="s">
        <v>2</v>
      </c>
      <c r="E57" s="13" t="s">
        <v>135</v>
      </c>
      <c r="F57" s="14" t="s">
        <v>111</v>
      </c>
      <c r="G57" s="149">
        <v>184.8</v>
      </c>
    </row>
    <row r="58" spans="1:7" ht="18.75" customHeight="1" x14ac:dyDescent="0.25">
      <c r="A58" s="31" t="s">
        <v>88</v>
      </c>
      <c r="B58" s="13" t="s">
        <v>0</v>
      </c>
      <c r="C58" s="13" t="s">
        <v>58</v>
      </c>
      <c r="D58" s="13" t="s">
        <v>3</v>
      </c>
      <c r="E58" s="13"/>
      <c r="F58" s="14"/>
      <c r="G58" s="149">
        <f>SUM(G61+G71+G63+G74+G79+G65+G69+G59+G77+G67)</f>
        <v>208616.30000000002</v>
      </c>
    </row>
    <row r="59" spans="1:7" ht="50.4" customHeight="1" x14ac:dyDescent="0.25">
      <c r="A59" s="31" t="s">
        <v>547</v>
      </c>
      <c r="B59" s="13" t="s">
        <v>0</v>
      </c>
      <c r="C59" s="13" t="s">
        <v>58</v>
      </c>
      <c r="D59" s="13" t="s">
        <v>3</v>
      </c>
      <c r="E59" s="13" t="s">
        <v>545</v>
      </c>
      <c r="F59" s="14"/>
      <c r="G59" s="149">
        <f>G60</f>
        <v>41493.300000000003</v>
      </c>
    </row>
    <row r="60" spans="1:7" ht="31.95" customHeight="1" x14ac:dyDescent="0.25">
      <c r="A60" s="30" t="s">
        <v>116</v>
      </c>
      <c r="B60" s="13" t="s">
        <v>0</v>
      </c>
      <c r="C60" s="13" t="s">
        <v>58</v>
      </c>
      <c r="D60" s="13" t="s">
        <v>3</v>
      </c>
      <c r="E60" s="13" t="s">
        <v>545</v>
      </c>
      <c r="F60" s="14" t="s">
        <v>111</v>
      </c>
      <c r="G60" s="149">
        <f>20746.6+15988.7+4758</f>
        <v>41493.300000000003</v>
      </c>
    </row>
    <row r="61" spans="1:7" ht="33.6" customHeight="1" x14ac:dyDescent="0.25">
      <c r="A61" s="32" t="s">
        <v>141</v>
      </c>
      <c r="B61" s="13" t="s">
        <v>0</v>
      </c>
      <c r="C61" s="13" t="s">
        <v>58</v>
      </c>
      <c r="D61" s="13" t="s">
        <v>3</v>
      </c>
      <c r="E61" s="13" t="s">
        <v>89</v>
      </c>
      <c r="F61" s="14"/>
      <c r="G61" s="149">
        <f>SUM(G62:G62)</f>
        <v>4053.8</v>
      </c>
    </row>
    <row r="62" spans="1:7" ht="33.6" customHeight="1" x14ac:dyDescent="0.25">
      <c r="A62" s="30" t="s">
        <v>116</v>
      </c>
      <c r="B62" s="13" t="s">
        <v>0</v>
      </c>
      <c r="C62" s="13" t="s">
        <v>58</v>
      </c>
      <c r="D62" s="13" t="s">
        <v>3</v>
      </c>
      <c r="E62" s="13" t="s">
        <v>89</v>
      </c>
      <c r="F62" s="14" t="s">
        <v>111</v>
      </c>
      <c r="G62" s="149">
        <v>4053.8</v>
      </c>
    </row>
    <row r="63" spans="1:7" ht="35.25" customHeight="1" x14ac:dyDescent="0.25">
      <c r="A63" s="29" t="s">
        <v>683</v>
      </c>
      <c r="B63" s="13" t="s">
        <v>0</v>
      </c>
      <c r="C63" s="13" t="s">
        <v>58</v>
      </c>
      <c r="D63" s="13" t="s">
        <v>3</v>
      </c>
      <c r="E63" s="13" t="s">
        <v>194</v>
      </c>
      <c r="F63" s="14"/>
      <c r="G63" s="149">
        <f>G64</f>
        <v>344.7</v>
      </c>
    </row>
    <row r="64" spans="1:7" s="95" customFormat="1" ht="38.25" customHeight="1" x14ac:dyDescent="0.25">
      <c r="A64" s="30" t="s">
        <v>116</v>
      </c>
      <c r="B64" s="13" t="s">
        <v>0</v>
      </c>
      <c r="C64" s="13" t="s">
        <v>58</v>
      </c>
      <c r="D64" s="13" t="s">
        <v>3</v>
      </c>
      <c r="E64" s="13" t="s">
        <v>194</v>
      </c>
      <c r="F64" s="14" t="s">
        <v>111</v>
      </c>
      <c r="G64" s="149">
        <v>344.7</v>
      </c>
    </row>
    <row r="65" spans="1:7" s="95" customFormat="1" ht="18" customHeight="1" x14ac:dyDescent="0.25">
      <c r="A65" s="29" t="s">
        <v>278</v>
      </c>
      <c r="B65" s="13" t="s">
        <v>0</v>
      </c>
      <c r="C65" s="13" t="s">
        <v>58</v>
      </c>
      <c r="D65" s="13" t="s">
        <v>3</v>
      </c>
      <c r="E65" s="13" t="s">
        <v>279</v>
      </c>
      <c r="F65" s="14"/>
      <c r="G65" s="149">
        <f>SUM(G66)</f>
        <v>3312.3</v>
      </c>
    </row>
    <row r="66" spans="1:7" s="95" customFormat="1" ht="37.5" customHeight="1" x14ac:dyDescent="0.25">
      <c r="A66" s="30" t="s">
        <v>116</v>
      </c>
      <c r="B66" s="13" t="s">
        <v>0</v>
      </c>
      <c r="C66" s="13" t="s">
        <v>58</v>
      </c>
      <c r="D66" s="13" t="s">
        <v>3</v>
      </c>
      <c r="E66" s="13" t="s">
        <v>279</v>
      </c>
      <c r="F66" s="14" t="s">
        <v>111</v>
      </c>
      <c r="G66" s="149">
        <v>3312.3</v>
      </c>
    </row>
    <row r="67" spans="1:7" s="95" customFormat="1" ht="65.400000000000006" customHeight="1" x14ac:dyDescent="0.25">
      <c r="A67" s="30" t="s">
        <v>601</v>
      </c>
      <c r="B67" s="13" t="s">
        <v>0</v>
      </c>
      <c r="C67" s="13" t="s">
        <v>58</v>
      </c>
      <c r="D67" s="13" t="s">
        <v>3</v>
      </c>
      <c r="E67" s="13" t="s">
        <v>600</v>
      </c>
      <c r="F67" s="14"/>
      <c r="G67" s="149">
        <f>G68</f>
        <v>640</v>
      </c>
    </row>
    <row r="68" spans="1:7" s="95" customFormat="1" ht="37.5" customHeight="1" x14ac:dyDescent="0.25">
      <c r="A68" s="30" t="s">
        <v>116</v>
      </c>
      <c r="B68" s="13" t="s">
        <v>0</v>
      </c>
      <c r="C68" s="13" t="s">
        <v>58</v>
      </c>
      <c r="D68" s="13" t="s">
        <v>3</v>
      </c>
      <c r="E68" s="13" t="s">
        <v>600</v>
      </c>
      <c r="F68" s="14" t="s">
        <v>111</v>
      </c>
      <c r="G68" s="149">
        <v>640</v>
      </c>
    </row>
    <row r="69" spans="1:7" s="95" customFormat="1" ht="33" customHeight="1" x14ac:dyDescent="0.25">
      <c r="A69" s="29" t="s">
        <v>291</v>
      </c>
      <c r="B69" s="13" t="s">
        <v>0</v>
      </c>
      <c r="C69" s="13" t="s">
        <v>58</v>
      </c>
      <c r="D69" s="13" t="s">
        <v>3</v>
      </c>
      <c r="E69" s="13" t="s">
        <v>290</v>
      </c>
      <c r="F69" s="14"/>
      <c r="G69" s="149">
        <f>G70</f>
        <v>13.5</v>
      </c>
    </row>
    <row r="70" spans="1:7" s="95" customFormat="1" ht="32.25" customHeight="1" x14ac:dyDescent="0.25">
      <c r="A70" s="30" t="s">
        <v>116</v>
      </c>
      <c r="B70" s="13" t="s">
        <v>0</v>
      </c>
      <c r="C70" s="13" t="s">
        <v>58</v>
      </c>
      <c r="D70" s="13" t="s">
        <v>3</v>
      </c>
      <c r="E70" s="13" t="s">
        <v>290</v>
      </c>
      <c r="F70" s="14" t="s">
        <v>111</v>
      </c>
      <c r="G70" s="149">
        <v>13.5</v>
      </c>
    </row>
    <row r="71" spans="1:7" s="95" customFormat="1" ht="117.75" customHeight="1" x14ac:dyDescent="0.25">
      <c r="A71" s="120" t="s">
        <v>663</v>
      </c>
      <c r="B71" s="13" t="s">
        <v>0</v>
      </c>
      <c r="C71" s="13" t="s">
        <v>58</v>
      </c>
      <c r="D71" s="13" t="s">
        <v>3</v>
      </c>
      <c r="E71" s="13" t="s">
        <v>90</v>
      </c>
      <c r="F71" s="14"/>
      <c r="G71" s="149">
        <f>SUM(G72:G73)</f>
        <v>40127.800000000003</v>
      </c>
    </row>
    <row r="72" spans="1:7" s="95" customFormat="1" ht="47.25" customHeight="1" x14ac:dyDescent="0.25">
      <c r="A72" s="29" t="s">
        <v>114</v>
      </c>
      <c r="B72" s="13" t="s">
        <v>0</v>
      </c>
      <c r="C72" s="13" t="s">
        <v>58</v>
      </c>
      <c r="D72" s="13" t="s">
        <v>3</v>
      </c>
      <c r="E72" s="13" t="s">
        <v>90</v>
      </c>
      <c r="F72" s="14" t="s">
        <v>19</v>
      </c>
      <c r="G72" s="149">
        <v>593</v>
      </c>
    </row>
    <row r="73" spans="1:7" s="95" customFormat="1" ht="33.75" customHeight="1" x14ac:dyDescent="0.25">
      <c r="A73" s="30" t="s">
        <v>116</v>
      </c>
      <c r="B73" s="13" t="s">
        <v>0</v>
      </c>
      <c r="C73" s="13" t="s">
        <v>58</v>
      </c>
      <c r="D73" s="13" t="s">
        <v>3</v>
      </c>
      <c r="E73" s="13" t="s">
        <v>90</v>
      </c>
      <c r="F73" s="14" t="s">
        <v>111</v>
      </c>
      <c r="G73" s="149">
        <v>39534.800000000003</v>
      </c>
    </row>
    <row r="74" spans="1:7" s="95" customFormat="1" ht="78.75" customHeight="1" x14ac:dyDescent="0.25">
      <c r="A74" s="118" t="s">
        <v>478</v>
      </c>
      <c r="B74" s="13" t="s">
        <v>0</v>
      </c>
      <c r="C74" s="13" t="s">
        <v>58</v>
      </c>
      <c r="D74" s="13" t="s">
        <v>3</v>
      </c>
      <c r="E74" s="13" t="s">
        <v>245</v>
      </c>
      <c r="F74" s="14"/>
      <c r="G74" s="149">
        <f>SUM(G75+G76)</f>
        <v>2962</v>
      </c>
    </row>
    <row r="75" spans="1:7" s="95" customFormat="1" ht="51" customHeight="1" x14ac:dyDescent="0.25">
      <c r="A75" s="29" t="s">
        <v>114</v>
      </c>
      <c r="B75" s="13" t="s">
        <v>0</v>
      </c>
      <c r="C75" s="13" t="s">
        <v>58</v>
      </c>
      <c r="D75" s="13" t="s">
        <v>3</v>
      </c>
      <c r="E75" s="13" t="s">
        <v>245</v>
      </c>
      <c r="F75" s="14" t="s">
        <v>19</v>
      </c>
      <c r="G75" s="149">
        <v>43.7</v>
      </c>
    </row>
    <row r="76" spans="1:7" s="95" customFormat="1" ht="33.6" customHeight="1" x14ac:dyDescent="0.25">
      <c r="A76" s="30" t="s">
        <v>116</v>
      </c>
      <c r="B76" s="13" t="s">
        <v>0</v>
      </c>
      <c r="C76" s="13" t="s">
        <v>58</v>
      </c>
      <c r="D76" s="13" t="s">
        <v>3</v>
      </c>
      <c r="E76" s="13" t="s">
        <v>245</v>
      </c>
      <c r="F76" s="14" t="s">
        <v>111</v>
      </c>
      <c r="G76" s="149">
        <v>2918.3</v>
      </c>
    </row>
    <row r="77" spans="1:7" s="95" customFormat="1" ht="79.95" customHeight="1" x14ac:dyDescent="0.25">
      <c r="A77" s="29" t="s">
        <v>655</v>
      </c>
      <c r="B77" s="13" t="s">
        <v>0</v>
      </c>
      <c r="C77" s="13" t="s">
        <v>58</v>
      </c>
      <c r="D77" s="13" t="s">
        <v>3</v>
      </c>
      <c r="E77" s="13" t="s">
        <v>556</v>
      </c>
      <c r="F77" s="14"/>
      <c r="G77" s="149">
        <f>G78</f>
        <v>94959.400000000009</v>
      </c>
    </row>
    <row r="78" spans="1:7" s="95" customFormat="1" ht="33.75" customHeight="1" x14ac:dyDescent="0.25">
      <c r="A78" s="30" t="s">
        <v>116</v>
      </c>
      <c r="B78" s="13" t="s">
        <v>0</v>
      </c>
      <c r="C78" s="13" t="s">
        <v>58</v>
      </c>
      <c r="D78" s="13" t="s">
        <v>3</v>
      </c>
      <c r="E78" s="13" t="s">
        <v>556</v>
      </c>
      <c r="F78" s="14" t="s">
        <v>111</v>
      </c>
      <c r="G78" s="149">
        <f>89261.8+5697.6</f>
        <v>94959.400000000009</v>
      </c>
    </row>
    <row r="79" spans="1:7" s="95" customFormat="1" ht="32.25" customHeight="1" x14ac:dyDescent="0.25">
      <c r="A79" s="29" t="s">
        <v>353</v>
      </c>
      <c r="B79" s="13" t="s">
        <v>0</v>
      </c>
      <c r="C79" s="13" t="s">
        <v>58</v>
      </c>
      <c r="D79" s="13" t="s">
        <v>3</v>
      </c>
      <c r="E79" s="13" t="s">
        <v>242</v>
      </c>
      <c r="F79" s="14"/>
      <c r="G79" s="149">
        <f>SUM(G80)</f>
        <v>20709.5</v>
      </c>
    </row>
    <row r="80" spans="1:7" s="95" customFormat="1" ht="34.200000000000003" customHeight="1" x14ac:dyDescent="0.25">
      <c r="A80" s="30" t="s">
        <v>116</v>
      </c>
      <c r="B80" s="13" t="s">
        <v>0</v>
      </c>
      <c r="C80" s="13" t="s">
        <v>58</v>
      </c>
      <c r="D80" s="13" t="s">
        <v>3</v>
      </c>
      <c r="E80" s="13" t="s">
        <v>242</v>
      </c>
      <c r="F80" s="14" t="s">
        <v>111</v>
      </c>
      <c r="G80" s="149">
        <v>20709.5</v>
      </c>
    </row>
    <row r="81" spans="1:7" s="95" customFormat="1" ht="34.950000000000003" customHeight="1" x14ac:dyDescent="0.25">
      <c r="A81" s="31" t="s">
        <v>553</v>
      </c>
      <c r="B81" s="13" t="s">
        <v>0</v>
      </c>
      <c r="C81" s="13" t="s">
        <v>58</v>
      </c>
      <c r="D81" s="13" t="s">
        <v>4</v>
      </c>
      <c r="E81" s="13"/>
      <c r="F81" s="14"/>
      <c r="G81" s="149">
        <f>G82+G84</f>
        <v>5626.1</v>
      </c>
    </row>
    <row r="82" spans="1:7" s="95" customFormat="1" ht="32.25" customHeight="1" x14ac:dyDescent="0.25">
      <c r="A82" s="31" t="s">
        <v>201</v>
      </c>
      <c r="B82" s="13" t="s">
        <v>0</v>
      </c>
      <c r="C82" s="13" t="s">
        <v>58</v>
      </c>
      <c r="D82" s="13" t="s">
        <v>4</v>
      </c>
      <c r="E82" s="13" t="s">
        <v>202</v>
      </c>
      <c r="F82" s="14"/>
      <c r="G82" s="149">
        <f>G83</f>
        <v>210</v>
      </c>
    </row>
    <row r="83" spans="1:7" s="95" customFormat="1" ht="33.75" customHeight="1" x14ac:dyDescent="0.25">
      <c r="A83" s="29" t="s">
        <v>115</v>
      </c>
      <c r="B83" s="13" t="s">
        <v>0</v>
      </c>
      <c r="C83" s="13" t="s">
        <v>58</v>
      </c>
      <c r="D83" s="13" t="s">
        <v>4</v>
      </c>
      <c r="E83" s="13" t="s">
        <v>202</v>
      </c>
      <c r="F83" s="14" t="s">
        <v>20</v>
      </c>
      <c r="G83" s="149">
        <v>210</v>
      </c>
    </row>
    <row r="84" spans="1:7" s="95" customFormat="1" ht="116.25" customHeight="1" x14ac:dyDescent="0.25">
      <c r="A84" s="118" t="s">
        <v>185</v>
      </c>
      <c r="B84" s="13" t="s">
        <v>0</v>
      </c>
      <c r="C84" s="13" t="s">
        <v>58</v>
      </c>
      <c r="D84" s="13" t="s">
        <v>4</v>
      </c>
      <c r="E84" s="13" t="s">
        <v>137</v>
      </c>
      <c r="F84" s="14"/>
      <c r="G84" s="149">
        <f>SUM(G85:G88)</f>
        <v>5416.1</v>
      </c>
    </row>
    <row r="85" spans="1:7" s="95" customFormat="1" ht="48" customHeight="1" x14ac:dyDescent="0.25">
      <c r="A85" s="29" t="s">
        <v>114</v>
      </c>
      <c r="B85" s="13" t="s">
        <v>0</v>
      </c>
      <c r="C85" s="13" t="s">
        <v>58</v>
      </c>
      <c r="D85" s="13" t="s">
        <v>4</v>
      </c>
      <c r="E85" s="13" t="s">
        <v>137</v>
      </c>
      <c r="F85" s="14" t="s">
        <v>19</v>
      </c>
      <c r="G85" s="149">
        <v>80</v>
      </c>
    </row>
    <row r="86" spans="1:7" s="95" customFormat="1" ht="34.5" customHeight="1" x14ac:dyDescent="0.25">
      <c r="A86" s="29" t="s">
        <v>115</v>
      </c>
      <c r="B86" s="13" t="s">
        <v>0</v>
      </c>
      <c r="C86" s="13" t="s">
        <v>58</v>
      </c>
      <c r="D86" s="13" t="s">
        <v>4</v>
      </c>
      <c r="E86" s="13" t="s">
        <v>137</v>
      </c>
      <c r="F86" s="14" t="s">
        <v>20</v>
      </c>
      <c r="G86" s="149">
        <v>25</v>
      </c>
    </row>
    <row r="87" spans="1:7" s="95" customFormat="1" ht="21" customHeight="1" x14ac:dyDescent="0.25">
      <c r="A87" s="29" t="s">
        <v>108</v>
      </c>
      <c r="B87" s="13" t="s">
        <v>0</v>
      </c>
      <c r="C87" s="13" t="s">
        <v>58</v>
      </c>
      <c r="D87" s="13" t="s">
        <v>4</v>
      </c>
      <c r="E87" s="13" t="s">
        <v>137</v>
      </c>
      <c r="F87" s="14" t="s">
        <v>109</v>
      </c>
      <c r="G87" s="149">
        <v>3685.4</v>
      </c>
    </row>
    <row r="88" spans="1:7" s="95" customFormat="1" ht="31.2" customHeight="1" x14ac:dyDescent="0.25">
      <c r="A88" s="30" t="s">
        <v>116</v>
      </c>
      <c r="B88" s="13" t="s">
        <v>0</v>
      </c>
      <c r="C88" s="13" t="s">
        <v>58</v>
      </c>
      <c r="D88" s="13" t="s">
        <v>4</v>
      </c>
      <c r="E88" s="13" t="s">
        <v>137</v>
      </c>
      <c r="F88" s="14" t="s">
        <v>111</v>
      </c>
      <c r="G88" s="149">
        <v>1625.7</v>
      </c>
    </row>
    <row r="89" spans="1:7" s="95" customFormat="1" ht="51" customHeight="1" x14ac:dyDescent="0.25">
      <c r="A89" s="120" t="s">
        <v>83</v>
      </c>
      <c r="B89" s="13" t="s">
        <v>0</v>
      </c>
      <c r="C89" s="13" t="s">
        <v>58</v>
      </c>
      <c r="D89" s="13" t="s">
        <v>10</v>
      </c>
      <c r="E89" s="13"/>
      <c r="F89" s="14"/>
      <c r="G89" s="149">
        <f>G90+G92</f>
        <v>11032.699999999999</v>
      </c>
    </row>
    <row r="90" spans="1:7" s="95" customFormat="1" ht="31.5" customHeight="1" x14ac:dyDescent="0.25">
      <c r="A90" s="120" t="s">
        <v>143</v>
      </c>
      <c r="B90" s="13" t="s">
        <v>0</v>
      </c>
      <c r="C90" s="13" t="s">
        <v>58</v>
      </c>
      <c r="D90" s="13" t="s">
        <v>10</v>
      </c>
      <c r="E90" s="13" t="s">
        <v>91</v>
      </c>
      <c r="F90" s="14"/>
      <c r="G90" s="149">
        <f>SUM(G91:G91)</f>
        <v>9146.2999999999993</v>
      </c>
    </row>
    <row r="91" spans="1:7" s="95" customFormat="1" ht="30.6" customHeight="1" x14ac:dyDescent="0.25">
      <c r="A91" s="30" t="s">
        <v>116</v>
      </c>
      <c r="B91" s="13" t="s">
        <v>0</v>
      </c>
      <c r="C91" s="13" t="s">
        <v>58</v>
      </c>
      <c r="D91" s="13" t="s">
        <v>10</v>
      </c>
      <c r="E91" s="13" t="s">
        <v>91</v>
      </c>
      <c r="F91" s="14" t="s">
        <v>111</v>
      </c>
      <c r="G91" s="149">
        <f>4573.2+4190.3+382.8</f>
        <v>9146.2999999999993</v>
      </c>
    </row>
    <row r="92" spans="1:7" ht="99.75" customHeight="1" x14ac:dyDescent="0.25">
      <c r="A92" s="122" t="s">
        <v>184</v>
      </c>
      <c r="B92" s="13" t="s">
        <v>0</v>
      </c>
      <c r="C92" s="13" t="s">
        <v>58</v>
      </c>
      <c r="D92" s="13" t="s">
        <v>10</v>
      </c>
      <c r="E92" s="13" t="s">
        <v>84</v>
      </c>
      <c r="F92" s="14"/>
      <c r="G92" s="149">
        <f>SUM(G93:G94)</f>
        <v>1886.4</v>
      </c>
    </row>
    <row r="93" spans="1:7" ht="49.5" customHeight="1" x14ac:dyDescent="0.25">
      <c r="A93" s="29" t="s">
        <v>114</v>
      </c>
      <c r="B93" s="13" t="s">
        <v>0</v>
      </c>
      <c r="C93" s="13" t="s">
        <v>58</v>
      </c>
      <c r="D93" s="13" t="s">
        <v>10</v>
      </c>
      <c r="E93" s="13" t="s">
        <v>84</v>
      </c>
      <c r="F93" s="14" t="s">
        <v>19</v>
      </c>
      <c r="G93" s="149">
        <v>27.7</v>
      </c>
    </row>
    <row r="94" spans="1:7" ht="35.25" customHeight="1" x14ac:dyDescent="0.25">
      <c r="A94" s="30" t="s">
        <v>116</v>
      </c>
      <c r="B94" s="13" t="s">
        <v>0</v>
      </c>
      <c r="C94" s="13" t="s">
        <v>58</v>
      </c>
      <c r="D94" s="13" t="s">
        <v>10</v>
      </c>
      <c r="E94" s="13" t="s">
        <v>84</v>
      </c>
      <c r="F94" s="14" t="s">
        <v>111</v>
      </c>
      <c r="G94" s="149">
        <v>1858.7</v>
      </c>
    </row>
    <row r="95" spans="1:7" ht="68.25" customHeight="1" x14ac:dyDescent="0.25">
      <c r="A95" s="29" t="s">
        <v>552</v>
      </c>
      <c r="B95" s="13" t="s">
        <v>0</v>
      </c>
      <c r="C95" s="13">
        <v>1</v>
      </c>
      <c r="D95" s="13" t="s">
        <v>5</v>
      </c>
      <c r="E95" s="13"/>
      <c r="F95" s="29"/>
      <c r="G95" s="149">
        <f>G96</f>
        <v>113663.3</v>
      </c>
    </row>
    <row r="96" spans="1:7" ht="31.95" customHeight="1" x14ac:dyDescent="0.25">
      <c r="A96" s="29" t="s">
        <v>247</v>
      </c>
      <c r="B96" s="13" t="s">
        <v>0</v>
      </c>
      <c r="C96" s="13" t="s">
        <v>58</v>
      </c>
      <c r="D96" s="13" t="s">
        <v>5</v>
      </c>
      <c r="E96" s="13" t="s">
        <v>246</v>
      </c>
      <c r="F96" s="14"/>
      <c r="G96" s="149">
        <f>G97</f>
        <v>113663.3</v>
      </c>
    </row>
    <row r="97" spans="1:7" ht="31.5" customHeight="1" x14ac:dyDescent="0.25">
      <c r="A97" s="30" t="s">
        <v>116</v>
      </c>
      <c r="B97" s="13" t="s">
        <v>0</v>
      </c>
      <c r="C97" s="13" t="s">
        <v>58</v>
      </c>
      <c r="D97" s="13" t="s">
        <v>5</v>
      </c>
      <c r="E97" s="13" t="s">
        <v>246</v>
      </c>
      <c r="F97" s="14" t="s">
        <v>111</v>
      </c>
      <c r="G97" s="149">
        <f>113663.3</f>
        <v>113663.3</v>
      </c>
    </row>
    <row r="98" spans="1:7" s="95" customFormat="1" ht="47.25" customHeight="1" x14ac:dyDescent="0.25">
      <c r="A98" s="29" t="s">
        <v>427</v>
      </c>
      <c r="B98" s="13" t="s">
        <v>222</v>
      </c>
      <c r="C98" s="13" t="s">
        <v>58</v>
      </c>
      <c r="D98" s="13" t="s">
        <v>7</v>
      </c>
      <c r="E98" s="13"/>
      <c r="F98" s="14"/>
      <c r="G98" s="149">
        <f>G99</f>
        <v>518.6</v>
      </c>
    </row>
    <row r="99" spans="1:7" s="95" customFormat="1" ht="47.25" customHeight="1" x14ac:dyDescent="0.25">
      <c r="A99" s="29" t="s">
        <v>427</v>
      </c>
      <c r="B99" s="13" t="s">
        <v>0</v>
      </c>
      <c r="C99" s="13" t="s">
        <v>58</v>
      </c>
      <c r="D99" s="13" t="s">
        <v>7</v>
      </c>
      <c r="E99" s="13" t="s">
        <v>223</v>
      </c>
      <c r="F99" s="14"/>
      <c r="G99" s="149">
        <f>G100</f>
        <v>518.6</v>
      </c>
    </row>
    <row r="100" spans="1:7" s="95" customFormat="1" ht="19.95" customHeight="1" x14ac:dyDescent="0.25">
      <c r="A100" s="29" t="s">
        <v>9</v>
      </c>
      <c r="B100" s="13" t="s">
        <v>0</v>
      </c>
      <c r="C100" s="13" t="s">
        <v>58</v>
      </c>
      <c r="D100" s="13" t="s">
        <v>7</v>
      </c>
      <c r="E100" s="13" t="s">
        <v>223</v>
      </c>
      <c r="F100" s="14" t="s">
        <v>25</v>
      </c>
      <c r="G100" s="149">
        <v>518.6</v>
      </c>
    </row>
    <row r="101" spans="1:7" s="95" customFormat="1" ht="47.25" customHeight="1" x14ac:dyDescent="0.25">
      <c r="A101" s="29" t="s">
        <v>192</v>
      </c>
      <c r="B101" s="13" t="s">
        <v>0</v>
      </c>
      <c r="C101" s="13" t="s">
        <v>58</v>
      </c>
      <c r="D101" s="13" t="s">
        <v>480</v>
      </c>
      <c r="E101" s="13"/>
      <c r="F101" s="14"/>
      <c r="G101" s="149">
        <f>G102</f>
        <v>3871.8</v>
      </c>
    </row>
    <row r="102" spans="1:7" s="95" customFormat="1" ht="19.95" customHeight="1" x14ac:dyDescent="0.25">
      <c r="A102" s="29" t="s">
        <v>337</v>
      </c>
      <c r="B102" s="13" t="s">
        <v>0</v>
      </c>
      <c r="C102" s="13" t="s">
        <v>58</v>
      </c>
      <c r="D102" s="13" t="s">
        <v>480</v>
      </c>
      <c r="E102" s="13" t="s">
        <v>336</v>
      </c>
      <c r="F102" s="14"/>
      <c r="G102" s="149">
        <f>SUM(G103:G103)</f>
        <v>3871.8</v>
      </c>
    </row>
    <row r="103" spans="1:7" s="95" customFormat="1" ht="36" customHeight="1" x14ac:dyDescent="0.25">
      <c r="A103" s="30" t="s">
        <v>116</v>
      </c>
      <c r="B103" s="13" t="s">
        <v>0</v>
      </c>
      <c r="C103" s="13" t="s">
        <v>58</v>
      </c>
      <c r="D103" s="13" t="s">
        <v>480</v>
      </c>
      <c r="E103" s="13" t="s">
        <v>336</v>
      </c>
      <c r="F103" s="14" t="s">
        <v>111</v>
      </c>
      <c r="G103" s="149">
        <v>3871.8</v>
      </c>
    </row>
    <row r="104" spans="1:7" s="95" customFormat="1" ht="31.5" customHeight="1" x14ac:dyDescent="0.25">
      <c r="A104" s="29" t="s">
        <v>481</v>
      </c>
      <c r="B104" s="13" t="s">
        <v>0</v>
      </c>
      <c r="C104" s="13" t="s">
        <v>58</v>
      </c>
      <c r="D104" s="13" t="s">
        <v>8</v>
      </c>
      <c r="E104" s="13"/>
      <c r="F104" s="14"/>
      <c r="G104" s="149">
        <f>SUM(G105+G108)</f>
        <v>9536.2000000000007</v>
      </c>
    </row>
    <row r="105" spans="1:7" s="95" customFormat="1" ht="22.5" customHeight="1" x14ac:dyDescent="0.25">
      <c r="A105" s="29" t="s">
        <v>638</v>
      </c>
      <c r="B105" s="13" t="s">
        <v>0</v>
      </c>
      <c r="C105" s="13" t="s">
        <v>58</v>
      </c>
      <c r="D105" s="13" t="s">
        <v>8</v>
      </c>
      <c r="E105" s="13" t="s">
        <v>528</v>
      </c>
      <c r="F105" s="14"/>
      <c r="G105" s="149">
        <f>G107+G106</f>
        <v>4953.2</v>
      </c>
    </row>
    <row r="106" spans="1:7" s="95" customFormat="1" ht="33" customHeight="1" x14ac:dyDescent="0.25">
      <c r="A106" s="29" t="s">
        <v>115</v>
      </c>
      <c r="B106" s="13" t="s">
        <v>0</v>
      </c>
      <c r="C106" s="13" t="s">
        <v>58</v>
      </c>
      <c r="D106" s="13" t="s">
        <v>8</v>
      </c>
      <c r="E106" s="13" t="s">
        <v>528</v>
      </c>
      <c r="F106" s="14" t="s">
        <v>20</v>
      </c>
      <c r="G106" s="149">
        <v>127</v>
      </c>
    </row>
    <row r="107" spans="1:7" s="95" customFormat="1" ht="31.5" customHeight="1" x14ac:dyDescent="0.25">
      <c r="A107" s="30" t="s">
        <v>116</v>
      </c>
      <c r="B107" s="13" t="s">
        <v>0</v>
      </c>
      <c r="C107" s="13" t="s">
        <v>58</v>
      </c>
      <c r="D107" s="13" t="s">
        <v>8</v>
      </c>
      <c r="E107" s="13" t="s">
        <v>528</v>
      </c>
      <c r="F107" s="14" t="s">
        <v>111</v>
      </c>
      <c r="G107" s="149">
        <v>4826.2</v>
      </c>
    </row>
    <row r="108" spans="1:7" s="95" customFormat="1" ht="63" customHeight="1" x14ac:dyDescent="0.25">
      <c r="A108" s="118" t="s">
        <v>203</v>
      </c>
      <c r="B108" s="13" t="s">
        <v>0</v>
      </c>
      <c r="C108" s="13" t="s">
        <v>58</v>
      </c>
      <c r="D108" s="13" t="s">
        <v>8</v>
      </c>
      <c r="E108" s="13" t="s">
        <v>204</v>
      </c>
      <c r="F108" s="13"/>
      <c r="G108" s="149">
        <f>SUM(G109:G110)</f>
        <v>4583</v>
      </c>
    </row>
    <row r="109" spans="1:7" s="95" customFormat="1" ht="52.5" customHeight="1" x14ac:dyDescent="0.25">
      <c r="A109" s="29" t="s">
        <v>114</v>
      </c>
      <c r="B109" s="13" t="s">
        <v>0</v>
      </c>
      <c r="C109" s="13" t="s">
        <v>58</v>
      </c>
      <c r="D109" s="13" t="s">
        <v>8</v>
      </c>
      <c r="E109" s="13" t="s">
        <v>204</v>
      </c>
      <c r="F109" s="13" t="s">
        <v>19</v>
      </c>
      <c r="G109" s="149">
        <v>67.7</v>
      </c>
    </row>
    <row r="110" spans="1:7" s="95" customFormat="1" ht="33" customHeight="1" x14ac:dyDescent="0.25">
      <c r="A110" s="30" t="s">
        <v>116</v>
      </c>
      <c r="B110" s="13" t="s">
        <v>0</v>
      </c>
      <c r="C110" s="13" t="s">
        <v>58</v>
      </c>
      <c r="D110" s="13" t="s">
        <v>8</v>
      </c>
      <c r="E110" s="13" t="s">
        <v>204</v>
      </c>
      <c r="F110" s="13" t="s">
        <v>111</v>
      </c>
      <c r="G110" s="149">
        <v>4515.3</v>
      </c>
    </row>
    <row r="111" spans="1:7" s="95" customFormat="1" ht="33" customHeight="1" x14ac:dyDescent="0.25">
      <c r="A111" s="118" t="s">
        <v>531</v>
      </c>
      <c r="B111" s="13" t="s">
        <v>0</v>
      </c>
      <c r="C111" s="13" t="s">
        <v>58</v>
      </c>
      <c r="D111" s="13" t="s">
        <v>282</v>
      </c>
      <c r="E111" s="13"/>
      <c r="F111" s="14"/>
      <c r="G111" s="149">
        <f>SUM(G112)</f>
        <v>1245.3</v>
      </c>
    </row>
    <row r="112" spans="1:7" s="95" customFormat="1" ht="19.5" customHeight="1" x14ac:dyDescent="0.25">
      <c r="A112" s="118" t="s">
        <v>532</v>
      </c>
      <c r="B112" s="13" t="s">
        <v>0</v>
      </c>
      <c r="C112" s="13" t="s">
        <v>58</v>
      </c>
      <c r="D112" s="13" t="s">
        <v>282</v>
      </c>
      <c r="E112" s="13" t="s">
        <v>530</v>
      </c>
      <c r="F112" s="14"/>
      <c r="G112" s="149">
        <f>SUM(G113)</f>
        <v>1245.3</v>
      </c>
    </row>
    <row r="113" spans="1:7" s="95" customFormat="1" ht="31.2" customHeight="1" x14ac:dyDescent="0.25">
      <c r="A113" s="30" t="s">
        <v>116</v>
      </c>
      <c r="B113" s="13" t="s">
        <v>0</v>
      </c>
      <c r="C113" s="13" t="s">
        <v>58</v>
      </c>
      <c r="D113" s="13" t="s">
        <v>282</v>
      </c>
      <c r="E113" s="13" t="s">
        <v>530</v>
      </c>
      <c r="F113" s="14" t="s">
        <v>111</v>
      </c>
      <c r="G113" s="149">
        <v>1245.3</v>
      </c>
    </row>
    <row r="114" spans="1:7" s="95" customFormat="1" ht="20.399999999999999" customHeight="1" x14ac:dyDescent="0.25">
      <c r="A114" s="118" t="s">
        <v>681</v>
      </c>
      <c r="B114" s="13" t="s">
        <v>0</v>
      </c>
      <c r="C114" s="13" t="s">
        <v>58</v>
      </c>
      <c r="D114" s="13" t="s">
        <v>554</v>
      </c>
      <c r="E114" s="13"/>
      <c r="F114" s="14"/>
      <c r="G114" s="149">
        <f>G117+G119+G115</f>
        <v>108737.00000000001</v>
      </c>
    </row>
    <row r="115" spans="1:7" s="95" customFormat="1" ht="20.399999999999999" customHeight="1" x14ac:dyDescent="0.25">
      <c r="A115" s="148" t="s">
        <v>712</v>
      </c>
      <c r="B115" s="143" t="s">
        <v>0</v>
      </c>
      <c r="C115" s="143" t="s">
        <v>58</v>
      </c>
      <c r="D115" s="143" t="s">
        <v>554</v>
      </c>
      <c r="E115" s="143" t="s">
        <v>352</v>
      </c>
      <c r="F115" s="135"/>
      <c r="G115" s="149">
        <f>G116</f>
        <v>2109.3000000000002</v>
      </c>
    </row>
    <row r="116" spans="1:7" s="95" customFormat="1" ht="20.399999999999999" customHeight="1" x14ac:dyDescent="0.25">
      <c r="A116" s="148" t="s">
        <v>116</v>
      </c>
      <c r="B116" s="143" t="s">
        <v>0</v>
      </c>
      <c r="C116" s="143" t="s">
        <v>58</v>
      </c>
      <c r="D116" s="143" t="s">
        <v>554</v>
      </c>
      <c r="E116" s="143" t="s">
        <v>352</v>
      </c>
      <c r="F116" s="135" t="s">
        <v>111</v>
      </c>
      <c r="G116" s="149">
        <v>2109.3000000000002</v>
      </c>
    </row>
    <row r="117" spans="1:7" s="95" customFormat="1" ht="53.25" customHeight="1" x14ac:dyDescent="0.25">
      <c r="A117" s="118" t="s">
        <v>288</v>
      </c>
      <c r="B117" s="13" t="s">
        <v>0</v>
      </c>
      <c r="C117" s="13" t="s">
        <v>58</v>
      </c>
      <c r="D117" s="13" t="s">
        <v>554</v>
      </c>
      <c r="E117" s="13" t="s">
        <v>289</v>
      </c>
      <c r="F117" s="14"/>
      <c r="G117" s="149">
        <f>G118</f>
        <v>6434.1</v>
      </c>
    </row>
    <row r="118" spans="1:7" s="95" customFormat="1" ht="36" customHeight="1" x14ac:dyDescent="0.25">
      <c r="A118" s="30" t="s">
        <v>116</v>
      </c>
      <c r="B118" s="13" t="s">
        <v>0</v>
      </c>
      <c r="C118" s="13" t="s">
        <v>58</v>
      </c>
      <c r="D118" s="13" t="s">
        <v>554</v>
      </c>
      <c r="E118" s="13" t="s">
        <v>289</v>
      </c>
      <c r="F118" s="14" t="s">
        <v>111</v>
      </c>
      <c r="G118" s="149">
        <v>6434.1</v>
      </c>
    </row>
    <row r="119" spans="1:7" s="95" customFormat="1" ht="130.5" customHeight="1" x14ac:dyDescent="0.25">
      <c r="A119" s="118" t="s">
        <v>664</v>
      </c>
      <c r="B119" s="13" t="s">
        <v>0</v>
      </c>
      <c r="C119" s="13" t="s">
        <v>58</v>
      </c>
      <c r="D119" s="13" t="s">
        <v>554</v>
      </c>
      <c r="E119" s="13" t="s">
        <v>555</v>
      </c>
      <c r="F119" s="14"/>
      <c r="G119" s="149">
        <f>G120</f>
        <v>100193.60000000001</v>
      </c>
    </row>
    <row r="120" spans="1:7" s="95" customFormat="1" ht="36" customHeight="1" x14ac:dyDescent="0.25">
      <c r="A120" s="30" t="s">
        <v>116</v>
      </c>
      <c r="B120" s="13" t="s">
        <v>0</v>
      </c>
      <c r="C120" s="13" t="s">
        <v>58</v>
      </c>
      <c r="D120" s="13" t="s">
        <v>554</v>
      </c>
      <c r="E120" s="13" t="s">
        <v>555</v>
      </c>
      <c r="F120" s="14" t="s">
        <v>111</v>
      </c>
      <c r="G120" s="149">
        <v>100193.60000000001</v>
      </c>
    </row>
    <row r="121" spans="1:7" s="95" customFormat="1" ht="18" customHeight="1" x14ac:dyDescent="0.25">
      <c r="A121" s="120" t="s">
        <v>452</v>
      </c>
      <c r="B121" s="13" t="s">
        <v>1</v>
      </c>
      <c r="C121" s="13"/>
      <c r="D121" s="13"/>
      <c r="E121" s="13"/>
      <c r="F121" s="14"/>
      <c r="G121" s="149">
        <f>SUM(G122)</f>
        <v>1994851.0000000002</v>
      </c>
    </row>
    <row r="122" spans="1:7" s="95" customFormat="1" ht="52.5" customHeight="1" x14ac:dyDescent="0.25">
      <c r="A122" s="120" t="s">
        <v>544</v>
      </c>
      <c r="B122" s="13" t="s">
        <v>1</v>
      </c>
      <c r="C122" s="13" t="s">
        <v>58</v>
      </c>
      <c r="D122" s="13"/>
      <c r="E122" s="13"/>
      <c r="F122" s="14"/>
      <c r="G122" s="149">
        <f>SUM(G123+G152+G160+G163)</f>
        <v>1994851.0000000002</v>
      </c>
    </row>
    <row r="123" spans="1:7" s="95" customFormat="1" ht="31.5" customHeight="1" x14ac:dyDescent="0.25">
      <c r="A123" s="120" t="s">
        <v>535</v>
      </c>
      <c r="B123" s="13" t="s">
        <v>1</v>
      </c>
      <c r="C123" s="13" t="s">
        <v>58</v>
      </c>
      <c r="D123" s="13" t="s">
        <v>0</v>
      </c>
      <c r="E123" s="13"/>
      <c r="F123" s="14"/>
      <c r="G123" s="149">
        <f>SUM(G124+G131+G139+G129+G145+G133+G137+G127+G149+G135+G143+G141+G147)</f>
        <v>1917828.2000000002</v>
      </c>
    </row>
    <row r="124" spans="1:7" s="95" customFormat="1" ht="47.25" customHeight="1" x14ac:dyDescent="0.25">
      <c r="A124" s="120" t="s">
        <v>106</v>
      </c>
      <c r="B124" s="13" t="s">
        <v>1</v>
      </c>
      <c r="C124" s="13" t="s">
        <v>58</v>
      </c>
      <c r="D124" s="13" t="s">
        <v>0</v>
      </c>
      <c r="E124" s="13" t="s">
        <v>51</v>
      </c>
      <c r="F124" s="14"/>
      <c r="G124" s="149">
        <f>SUM(G125:G126)</f>
        <v>28695.8</v>
      </c>
    </row>
    <row r="125" spans="1:7" s="95" customFormat="1" ht="49.5" customHeight="1" x14ac:dyDescent="0.25">
      <c r="A125" s="29" t="s">
        <v>114</v>
      </c>
      <c r="B125" s="13" t="s">
        <v>1</v>
      </c>
      <c r="C125" s="13" t="s">
        <v>58</v>
      </c>
      <c r="D125" s="13" t="s">
        <v>0</v>
      </c>
      <c r="E125" s="13" t="s">
        <v>51</v>
      </c>
      <c r="F125" s="14" t="s">
        <v>19</v>
      </c>
      <c r="G125" s="149">
        <v>28026.6</v>
      </c>
    </row>
    <row r="126" spans="1:7" s="95" customFormat="1" ht="31.5" customHeight="1" x14ac:dyDescent="0.25">
      <c r="A126" s="29" t="s">
        <v>115</v>
      </c>
      <c r="B126" s="13" t="s">
        <v>1</v>
      </c>
      <c r="C126" s="13" t="s">
        <v>58</v>
      </c>
      <c r="D126" s="13" t="s">
        <v>0</v>
      </c>
      <c r="E126" s="13" t="s">
        <v>51</v>
      </c>
      <c r="F126" s="14" t="s">
        <v>20</v>
      </c>
      <c r="G126" s="149">
        <f>668.1+1.1</f>
        <v>669.2</v>
      </c>
    </row>
    <row r="127" spans="1:7" s="95" customFormat="1" ht="31.5" customHeight="1" x14ac:dyDescent="0.25">
      <c r="A127" s="118" t="s">
        <v>684</v>
      </c>
      <c r="B127" s="13" t="s">
        <v>1</v>
      </c>
      <c r="C127" s="13" t="s">
        <v>58</v>
      </c>
      <c r="D127" s="13" t="s">
        <v>0</v>
      </c>
      <c r="E127" s="13" t="s">
        <v>214</v>
      </c>
      <c r="F127" s="14"/>
      <c r="G127" s="149">
        <f>G128</f>
        <v>5203.7</v>
      </c>
    </row>
    <row r="128" spans="1:7" s="95" customFormat="1" ht="34.5" customHeight="1" x14ac:dyDescent="0.25">
      <c r="A128" s="29" t="s">
        <v>118</v>
      </c>
      <c r="B128" s="13" t="s">
        <v>1</v>
      </c>
      <c r="C128" s="13" t="s">
        <v>58</v>
      </c>
      <c r="D128" s="13" t="s">
        <v>0</v>
      </c>
      <c r="E128" s="13" t="s">
        <v>214</v>
      </c>
      <c r="F128" s="14" t="s">
        <v>20</v>
      </c>
      <c r="G128" s="149">
        <v>5203.7</v>
      </c>
    </row>
    <row r="129" spans="1:8" s="95" customFormat="1" ht="18" customHeight="1" x14ac:dyDescent="0.25">
      <c r="A129" s="118" t="s">
        <v>560</v>
      </c>
      <c r="B129" s="13" t="s">
        <v>1</v>
      </c>
      <c r="C129" s="13" t="s">
        <v>58</v>
      </c>
      <c r="D129" s="13" t="s">
        <v>0</v>
      </c>
      <c r="E129" s="13" t="s">
        <v>559</v>
      </c>
      <c r="F129" s="14"/>
      <c r="G129" s="149">
        <f>G130</f>
        <v>158</v>
      </c>
    </row>
    <row r="130" spans="1:8" s="95" customFormat="1" ht="33" customHeight="1" x14ac:dyDescent="0.25">
      <c r="A130" s="29" t="s">
        <v>115</v>
      </c>
      <c r="B130" s="13" t="s">
        <v>1</v>
      </c>
      <c r="C130" s="13" t="s">
        <v>58</v>
      </c>
      <c r="D130" s="13" t="s">
        <v>0</v>
      </c>
      <c r="E130" s="13" t="s">
        <v>559</v>
      </c>
      <c r="F130" s="14" t="s">
        <v>20</v>
      </c>
      <c r="G130" s="149">
        <v>158</v>
      </c>
    </row>
    <row r="131" spans="1:8" s="95" customFormat="1" ht="18" customHeight="1" x14ac:dyDescent="0.25">
      <c r="A131" s="118" t="s">
        <v>474</v>
      </c>
      <c r="B131" s="13" t="s">
        <v>1</v>
      </c>
      <c r="C131" s="13" t="s">
        <v>58</v>
      </c>
      <c r="D131" s="13" t="s">
        <v>0</v>
      </c>
      <c r="E131" s="13" t="s">
        <v>578</v>
      </c>
      <c r="F131" s="14"/>
      <c r="G131" s="149">
        <f>SUM(G132)</f>
        <v>1550287.7000000002</v>
      </c>
    </row>
    <row r="132" spans="1:8" s="95" customFormat="1" ht="34.5" customHeight="1" x14ac:dyDescent="0.25">
      <c r="A132" s="29" t="s">
        <v>118</v>
      </c>
      <c r="B132" s="13" t="s">
        <v>1</v>
      </c>
      <c r="C132" s="13" t="s">
        <v>58</v>
      </c>
      <c r="D132" s="13" t="s">
        <v>0</v>
      </c>
      <c r="E132" s="13" t="s">
        <v>578</v>
      </c>
      <c r="F132" s="14" t="s">
        <v>119</v>
      </c>
      <c r="G132" s="149">
        <f>1549938.3+0.1+349.3</f>
        <v>1550287.7000000002</v>
      </c>
    </row>
    <row r="133" spans="1:8" s="95" customFormat="1" ht="48" customHeight="1" x14ac:dyDescent="0.25">
      <c r="A133" s="29" t="s">
        <v>656</v>
      </c>
      <c r="B133" s="13" t="s">
        <v>1</v>
      </c>
      <c r="C133" s="13" t="s">
        <v>58</v>
      </c>
      <c r="D133" s="13" t="s">
        <v>0</v>
      </c>
      <c r="E133" s="13" t="s">
        <v>577</v>
      </c>
      <c r="F133" s="14"/>
      <c r="G133" s="149">
        <f>G134</f>
        <v>60535</v>
      </c>
    </row>
    <row r="134" spans="1:8" s="95" customFormat="1" ht="33" customHeight="1" x14ac:dyDescent="0.25">
      <c r="A134" s="29" t="s">
        <v>118</v>
      </c>
      <c r="B134" s="13" t="s">
        <v>1</v>
      </c>
      <c r="C134" s="13" t="s">
        <v>58</v>
      </c>
      <c r="D134" s="13" t="s">
        <v>0</v>
      </c>
      <c r="E134" s="13" t="s">
        <v>577</v>
      </c>
      <c r="F134" s="14" t="s">
        <v>119</v>
      </c>
      <c r="G134" s="149">
        <f>3632.7+56902.9-0.6</f>
        <v>60535</v>
      </c>
    </row>
    <row r="135" spans="1:8" s="95" customFormat="1" ht="53.4" customHeight="1" x14ac:dyDescent="0.25">
      <c r="A135" s="118" t="s">
        <v>671</v>
      </c>
      <c r="B135" s="13" t="s">
        <v>1</v>
      </c>
      <c r="C135" s="13" t="s">
        <v>58</v>
      </c>
      <c r="D135" s="13" t="s">
        <v>0</v>
      </c>
      <c r="E135" s="13" t="s">
        <v>672</v>
      </c>
      <c r="F135" s="14"/>
      <c r="G135" s="149">
        <f>G136</f>
        <v>18725.3</v>
      </c>
    </row>
    <row r="136" spans="1:8" s="95" customFormat="1" ht="30" customHeight="1" x14ac:dyDescent="0.25">
      <c r="A136" s="118" t="s">
        <v>118</v>
      </c>
      <c r="B136" s="13" t="s">
        <v>1</v>
      </c>
      <c r="C136" s="13" t="s">
        <v>58</v>
      </c>
      <c r="D136" s="13" t="s">
        <v>0</v>
      </c>
      <c r="E136" s="13" t="s">
        <v>672</v>
      </c>
      <c r="F136" s="14" t="s">
        <v>119</v>
      </c>
      <c r="G136" s="149">
        <v>18725.3</v>
      </c>
    </row>
    <row r="137" spans="1:8" s="95" customFormat="1" ht="48" customHeight="1" x14ac:dyDescent="0.25">
      <c r="A137" s="29" t="s">
        <v>665</v>
      </c>
      <c r="B137" s="13" t="s">
        <v>1</v>
      </c>
      <c r="C137" s="13" t="s">
        <v>58</v>
      </c>
      <c r="D137" s="13" t="s">
        <v>0</v>
      </c>
      <c r="E137" s="13" t="s">
        <v>576</v>
      </c>
      <c r="F137" s="14"/>
      <c r="G137" s="149">
        <f>G138</f>
        <v>53192.6</v>
      </c>
    </row>
    <row r="138" spans="1:8" s="95" customFormat="1" ht="33" customHeight="1" x14ac:dyDescent="0.25">
      <c r="A138" s="29" t="s">
        <v>118</v>
      </c>
      <c r="B138" s="13" t="s">
        <v>1</v>
      </c>
      <c r="C138" s="13" t="s">
        <v>58</v>
      </c>
      <c r="D138" s="13" t="s">
        <v>0</v>
      </c>
      <c r="E138" s="13" t="s">
        <v>576</v>
      </c>
      <c r="F138" s="14" t="s">
        <v>119</v>
      </c>
      <c r="G138" s="149">
        <f>50000.9+3191.5+0.2</f>
        <v>53192.6</v>
      </c>
    </row>
    <row r="139" spans="1:8" s="95" customFormat="1" ht="35.25" customHeight="1" x14ac:dyDescent="0.25">
      <c r="A139" s="29" t="s">
        <v>473</v>
      </c>
      <c r="B139" s="13" t="s">
        <v>1</v>
      </c>
      <c r="C139" s="13" t="s">
        <v>58</v>
      </c>
      <c r="D139" s="13" t="s">
        <v>0</v>
      </c>
      <c r="E139" s="13" t="s">
        <v>470</v>
      </c>
      <c r="F139" s="14"/>
      <c r="G139" s="150">
        <f>SUM(G140)</f>
        <v>26002.7</v>
      </c>
      <c r="H139" s="152"/>
    </row>
    <row r="140" spans="1:8" s="95" customFormat="1" ht="17.399999999999999" customHeight="1" x14ac:dyDescent="0.25">
      <c r="A140" s="29" t="s">
        <v>118</v>
      </c>
      <c r="B140" s="13" t="s">
        <v>1</v>
      </c>
      <c r="C140" s="13" t="s">
        <v>58</v>
      </c>
      <c r="D140" s="13" t="s">
        <v>0</v>
      </c>
      <c r="E140" s="13" t="s">
        <v>470</v>
      </c>
      <c r="F140" s="14" t="s">
        <v>119</v>
      </c>
      <c r="G140" s="150">
        <f>7775+18226.3+1.4</f>
        <v>26002.7</v>
      </c>
      <c r="H140" s="152"/>
    </row>
    <row r="141" spans="1:8" s="95" customFormat="1" ht="41.4" customHeight="1" x14ac:dyDescent="0.25">
      <c r="A141" s="137" t="s">
        <v>673</v>
      </c>
      <c r="B141" s="134" t="s">
        <v>1</v>
      </c>
      <c r="C141" s="134" t="s">
        <v>58</v>
      </c>
      <c r="D141" s="134" t="s">
        <v>0</v>
      </c>
      <c r="E141" s="134" t="s">
        <v>674</v>
      </c>
      <c r="F141" s="134"/>
      <c r="G141" s="151">
        <f>G142</f>
        <v>1825</v>
      </c>
      <c r="H141" s="153"/>
    </row>
    <row r="142" spans="1:8" s="95" customFormat="1" ht="24" customHeight="1" x14ac:dyDescent="0.25">
      <c r="A142" s="137" t="s">
        <v>118</v>
      </c>
      <c r="B142" s="134" t="s">
        <v>1</v>
      </c>
      <c r="C142" s="134" t="s">
        <v>58</v>
      </c>
      <c r="D142" s="134" t="s">
        <v>0</v>
      </c>
      <c r="E142" s="134" t="s">
        <v>674</v>
      </c>
      <c r="F142" s="134" t="s">
        <v>119</v>
      </c>
      <c r="G142" s="151">
        <f>1475+350</f>
        <v>1825</v>
      </c>
      <c r="H142" s="153"/>
    </row>
    <row r="143" spans="1:8" s="95" customFormat="1" ht="21" customHeight="1" x14ac:dyDescent="0.25">
      <c r="A143" s="129" t="s">
        <v>475</v>
      </c>
      <c r="B143" s="134" t="s">
        <v>1</v>
      </c>
      <c r="C143" s="134" t="s">
        <v>58</v>
      </c>
      <c r="D143" s="134" t="s">
        <v>0</v>
      </c>
      <c r="E143" s="134" t="s">
        <v>471</v>
      </c>
      <c r="F143" s="135"/>
      <c r="G143" s="150">
        <f>G144</f>
        <v>874.5</v>
      </c>
      <c r="H143" s="152"/>
    </row>
    <row r="144" spans="1:8" s="95" customFormat="1" ht="33" customHeight="1" x14ac:dyDescent="0.25">
      <c r="A144" s="130" t="s">
        <v>118</v>
      </c>
      <c r="B144" s="134" t="s">
        <v>1</v>
      </c>
      <c r="C144" s="134" t="s">
        <v>58</v>
      </c>
      <c r="D144" s="134" t="s">
        <v>0</v>
      </c>
      <c r="E144" s="134" t="s">
        <v>471</v>
      </c>
      <c r="F144" s="135" t="s">
        <v>119</v>
      </c>
      <c r="G144" s="150">
        <v>874.5</v>
      </c>
      <c r="H144" s="152"/>
    </row>
    <row r="145" spans="1:7" s="95" customFormat="1" ht="48" customHeight="1" x14ac:dyDescent="0.25">
      <c r="A145" s="29" t="s">
        <v>685</v>
      </c>
      <c r="B145" s="13" t="s">
        <v>1</v>
      </c>
      <c r="C145" s="25">
        <v>1</v>
      </c>
      <c r="D145" s="13" t="s">
        <v>0</v>
      </c>
      <c r="E145" s="13" t="s">
        <v>574</v>
      </c>
      <c r="F145" s="14"/>
      <c r="G145" s="149">
        <f>G146</f>
        <v>168929.8</v>
      </c>
    </row>
    <row r="146" spans="1:7" s="95" customFormat="1" ht="30.75" customHeight="1" x14ac:dyDescent="0.25">
      <c r="A146" s="29" t="s">
        <v>118</v>
      </c>
      <c r="B146" s="13" t="s">
        <v>1</v>
      </c>
      <c r="C146" s="25">
        <v>1</v>
      </c>
      <c r="D146" s="13" t="s">
        <v>0</v>
      </c>
      <c r="E146" s="13" t="s">
        <v>574</v>
      </c>
      <c r="F146" s="14" t="s">
        <v>119</v>
      </c>
      <c r="G146" s="149">
        <f>47175.4+115666.6+6087.8</f>
        <v>168929.8</v>
      </c>
    </row>
    <row r="147" spans="1:7" s="95" customFormat="1" ht="66.75" customHeight="1" x14ac:dyDescent="0.25">
      <c r="A147" s="137" t="s">
        <v>675</v>
      </c>
      <c r="B147" s="134" t="s">
        <v>1</v>
      </c>
      <c r="C147" s="138">
        <v>1</v>
      </c>
      <c r="D147" s="134" t="s">
        <v>0</v>
      </c>
      <c r="E147" s="134" t="s">
        <v>676</v>
      </c>
      <c r="F147" s="135"/>
      <c r="G147" s="149">
        <f>G148</f>
        <v>3318.4</v>
      </c>
    </row>
    <row r="148" spans="1:7" s="95" customFormat="1" ht="18" customHeight="1" x14ac:dyDescent="0.25">
      <c r="A148" s="137" t="s">
        <v>118</v>
      </c>
      <c r="B148" s="134" t="s">
        <v>1</v>
      </c>
      <c r="C148" s="138">
        <v>1</v>
      </c>
      <c r="D148" s="134" t="s">
        <v>0</v>
      </c>
      <c r="E148" s="134" t="s">
        <v>676</v>
      </c>
      <c r="F148" s="135" t="s">
        <v>119</v>
      </c>
      <c r="G148" s="149">
        <v>3318.4</v>
      </c>
    </row>
    <row r="149" spans="1:7" s="95" customFormat="1" ht="30.6" customHeight="1" x14ac:dyDescent="0.25">
      <c r="A149" s="29" t="s">
        <v>666</v>
      </c>
      <c r="B149" s="13" t="s">
        <v>1</v>
      </c>
      <c r="C149" s="25">
        <v>1</v>
      </c>
      <c r="D149" s="13" t="s">
        <v>0</v>
      </c>
      <c r="E149" s="13" t="s">
        <v>599</v>
      </c>
      <c r="F149" s="14"/>
      <c r="G149" s="149">
        <f>G151+G150</f>
        <v>79.7</v>
      </c>
    </row>
    <row r="150" spans="1:7" s="95" customFormat="1" ht="33.75" customHeight="1" x14ac:dyDescent="0.25">
      <c r="A150" s="29" t="s">
        <v>115</v>
      </c>
      <c r="B150" s="13" t="s">
        <v>1</v>
      </c>
      <c r="C150" s="25">
        <v>1</v>
      </c>
      <c r="D150" s="13" t="s">
        <v>0</v>
      </c>
      <c r="E150" s="13" t="s">
        <v>599</v>
      </c>
      <c r="F150" s="14" t="s">
        <v>20</v>
      </c>
      <c r="G150" s="149">
        <v>42.4</v>
      </c>
    </row>
    <row r="151" spans="1:7" s="95" customFormat="1" ht="17.399999999999999" customHeight="1" x14ac:dyDescent="0.25">
      <c r="A151" s="29" t="s">
        <v>118</v>
      </c>
      <c r="B151" s="13" t="s">
        <v>1</v>
      </c>
      <c r="C151" s="25">
        <v>1</v>
      </c>
      <c r="D151" s="13" t="s">
        <v>0</v>
      </c>
      <c r="E151" s="13" t="s">
        <v>599</v>
      </c>
      <c r="F151" s="14" t="s">
        <v>119</v>
      </c>
      <c r="G151" s="149">
        <f>78.9+0.8-42.4</f>
        <v>37.300000000000004</v>
      </c>
    </row>
    <row r="152" spans="1:7" ht="47.25" customHeight="1" x14ac:dyDescent="0.25">
      <c r="A152" s="31" t="s">
        <v>534</v>
      </c>
      <c r="B152" s="13" t="s">
        <v>1</v>
      </c>
      <c r="C152" s="13" t="s">
        <v>58</v>
      </c>
      <c r="D152" s="13" t="s">
        <v>1</v>
      </c>
      <c r="E152" s="13"/>
      <c r="F152" s="14"/>
      <c r="G152" s="149">
        <f>SUM(G153+G156+G158)</f>
        <v>10619.6</v>
      </c>
    </row>
    <row r="153" spans="1:7" ht="18" customHeight="1" x14ac:dyDescent="0.25">
      <c r="A153" s="31" t="s">
        <v>26</v>
      </c>
      <c r="B153" s="13" t="s">
        <v>1</v>
      </c>
      <c r="C153" s="13" t="s">
        <v>58</v>
      </c>
      <c r="D153" s="13" t="s">
        <v>1</v>
      </c>
      <c r="E153" s="13" t="s">
        <v>41</v>
      </c>
      <c r="F153" s="14"/>
      <c r="G153" s="149">
        <f>SUM(G154:G155)</f>
        <v>10563</v>
      </c>
    </row>
    <row r="154" spans="1:7" ht="46.95" customHeight="1" x14ac:dyDescent="0.25">
      <c r="A154" s="29" t="s">
        <v>114</v>
      </c>
      <c r="B154" s="13" t="s">
        <v>1</v>
      </c>
      <c r="C154" s="13" t="s">
        <v>58</v>
      </c>
      <c r="D154" s="13" t="s">
        <v>1</v>
      </c>
      <c r="E154" s="13" t="s">
        <v>41</v>
      </c>
      <c r="F154" s="14" t="s">
        <v>19</v>
      </c>
      <c r="G154" s="149">
        <v>10468.799999999999</v>
      </c>
    </row>
    <row r="155" spans="1:7" ht="19.5" customHeight="1" x14ac:dyDescent="0.25">
      <c r="A155" s="29" t="s">
        <v>115</v>
      </c>
      <c r="B155" s="13" t="s">
        <v>1</v>
      </c>
      <c r="C155" s="13" t="s">
        <v>58</v>
      </c>
      <c r="D155" s="13" t="s">
        <v>1</v>
      </c>
      <c r="E155" s="13" t="s">
        <v>41</v>
      </c>
      <c r="F155" s="14" t="s">
        <v>20</v>
      </c>
      <c r="G155" s="149">
        <f>91.2+3</f>
        <v>94.2</v>
      </c>
    </row>
    <row r="156" spans="1:7" ht="16.5" customHeight="1" x14ac:dyDescent="0.25">
      <c r="A156" s="29" t="s">
        <v>228</v>
      </c>
      <c r="B156" s="13" t="s">
        <v>1</v>
      </c>
      <c r="C156" s="25">
        <v>1</v>
      </c>
      <c r="D156" s="13" t="s">
        <v>1</v>
      </c>
      <c r="E156" s="13" t="s">
        <v>229</v>
      </c>
      <c r="F156" s="13"/>
      <c r="G156" s="149">
        <f>SUM(G157)</f>
        <v>39.900000000000006</v>
      </c>
    </row>
    <row r="157" spans="1:7" ht="31.95" customHeight="1" x14ac:dyDescent="0.25">
      <c r="A157" s="29" t="s">
        <v>115</v>
      </c>
      <c r="B157" s="13" t="s">
        <v>1</v>
      </c>
      <c r="C157" s="25">
        <v>1</v>
      </c>
      <c r="D157" s="13" t="s">
        <v>1</v>
      </c>
      <c r="E157" s="13" t="s">
        <v>229</v>
      </c>
      <c r="F157" s="13" t="s">
        <v>20</v>
      </c>
      <c r="G157" s="149">
        <f>22.8+17.1</f>
        <v>39.900000000000006</v>
      </c>
    </row>
    <row r="158" spans="1:7" ht="17.399999999999999" customHeight="1" x14ac:dyDescent="0.25">
      <c r="A158" s="29" t="s">
        <v>234</v>
      </c>
      <c r="B158" s="13" t="s">
        <v>1</v>
      </c>
      <c r="C158" s="13" t="s">
        <v>58</v>
      </c>
      <c r="D158" s="13" t="s">
        <v>1</v>
      </c>
      <c r="E158" s="13" t="s">
        <v>235</v>
      </c>
      <c r="F158" s="14"/>
      <c r="G158" s="149">
        <f>SUM(G159)</f>
        <v>16.7</v>
      </c>
    </row>
    <row r="159" spans="1:7" ht="32.25" customHeight="1" x14ac:dyDescent="0.25">
      <c r="A159" s="29" t="s">
        <v>115</v>
      </c>
      <c r="B159" s="13" t="s">
        <v>1</v>
      </c>
      <c r="C159" s="13" t="s">
        <v>58</v>
      </c>
      <c r="D159" s="13" t="s">
        <v>1</v>
      </c>
      <c r="E159" s="13" t="s">
        <v>235</v>
      </c>
      <c r="F159" s="14" t="s">
        <v>20</v>
      </c>
      <c r="G159" s="149">
        <v>16.7</v>
      </c>
    </row>
    <row r="160" spans="1:7" x14ac:dyDescent="0.25">
      <c r="A160" s="118" t="s">
        <v>657</v>
      </c>
      <c r="B160" s="13" t="s">
        <v>1</v>
      </c>
      <c r="C160" s="13" t="s">
        <v>58</v>
      </c>
      <c r="D160" s="13" t="s">
        <v>602</v>
      </c>
      <c r="E160" s="13"/>
      <c r="F160" s="14"/>
      <c r="G160" s="149">
        <f>G161</f>
        <v>19928.2</v>
      </c>
    </row>
    <row r="161" spans="1:8" x14ac:dyDescent="0.25">
      <c r="A161" s="118" t="s">
        <v>604</v>
      </c>
      <c r="B161" s="13" t="s">
        <v>1</v>
      </c>
      <c r="C161" s="13" t="s">
        <v>58</v>
      </c>
      <c r="D161" s="13" t="s">
        <v>602</v>
      </c>
      <c r="E161" s="13" t="s">
        <v>603</v>
      </c>
      <c r="F161" s="14"/>
      <c r="G161" s="149">
        <f>G162</f>
        <v>19928.2</v>
      </c>
    </row>
    <row r="162" spans="1:8" ht="16.2" customHeight="1" x14ac:dyDescent="0.25">
      <c r="A162" s="29" t="s">
        <v>118</v>
      </c>
      <c r="B162" s="13" t="s">
        <v>1</v>
      </c>
      <c r="C162" s="13" t="s">
        <v>58</v>
      </c>
      <c r="D162" s="13" t="s">
        <v>602</v>
      </c>
      <c r="E162" s="13" t="s">
        <v>603</v>
      </c>
      <c r="F162" s="14" t="s">
        <v>119</v>
      </c>
      <c r="G162" s="149">
        <f>18732.5+1195.7</f>
        <v>19928.2</v>
      </c>
    </row>
    <row r="163" spans="1:8" ht="36.75" customHeight="1" x14ac:dyDescent="0.25">
      <c r="A163" s="125" t="s">
        <v>658</v>
      </c>
      <c r="B163" s="46" t="s">
        <v>1</v>
      </c>
      <c r="C163" s="46" t="s">
        <v>58</v>
      </c>
      <c r="D163" s="46" t="s">
        <v>620</v>
      </c>
      <c r="E163" s="46"/>
      <c r="F163" s="72"/>
      <c r="G163" s="149">
        <f>G164</f>
        <v>46475</v>
      </c>
    </row>
    <row r="164" spans="1:8" x14ac:dyDescent="0.25">
      <c r="A164" s="125" t="s">
        <v>624</v>
      </c>
      <c r="B164" s="46" t="s">
        <v>1</v>
      </c>
      <c r="C164" s="46" t="s">
        <v>58</v>
      </c>
      <c r="D164" s="46" t="s">
        <v>620</v>
      </c>
      <c r="E164" s="46" t="s">
        <v>621</v>
      </c>
      <c r="F164" s="72"/>
      <c r="G164" s="149">
        <f>G165</f>
        <v>46475</v>
      </c>
    </row>
    <row r="165" spans="1:8" ht="33" customHeight="1" x14ac:dyDescent="0.25">
      <c r="A165" s="118" t="s">
        <v>115</v>
      </c>
      <c r="B165" s="46" t="s">
        <v>1</v>
      </c>
      <c r="C165" s="46" t="s">
        <v>58</v>
      </c>
      <c r="D165" s="46" t="s">
        <v>620</v>
      </c>
      <c r="E165" s="46" t="s">
        <v>621</v>
      </c>
      <c r="F165" s="72" t="s">
        <v>20</v>
      </c>
      <c r="G165" s="149">
        <f>46242.6+232.4</f>
        <v>46475</v>
      </c>
    </row>
    <row r="166" spans="1:8" ht="18" customHeight="1" x14ac:dyDescent="0.25">
      <c r="A166" s="120" t="s">
        <v>462</v>
      </c>
      <c r="B166" s="13" t="s">
        <v>2</v>
      </c>
      <c r="C166" s="13"/>
      <c r="D166" s="13"/>
      <c r="E166" s="13"/>
      <c r="F166" s="14"/>
      <c r="G166" s="149">
        <f>SUM(G167)</f>
        <v>32014.400000000001</v>
      </c>
      <c r="H166" s="94">
        <v>31298</v>
      </c>
    </row>
    <row r="167" spans="1:8" ht="33.75" customHeight="1" x14ac:dyDescent="0.25">
      <c r="A167" s="118" t="s">
        <v>463</v>
      </c>
      <c r="B167" s="13" t="s">
        <v>2</v>
      </c>
      <c r="C167" s="13" t="s">
        <v>58</v>
      </c>
      <c r="D167" s="13"/>
      <c r="E167" s="13"/>
      <c r="F167" s="14"/>
      <c r="G167" s="149">
        <f>SUM(G168)</f>
        <v>32014.400000000001</v>
      </c>
    </row>
    <row r="168" spans="1:8" ht="64.5" customHeight="1" x14ac:dyDescent="0.25">
      <c r="A168" s="118" t="s">
        <v>464</v>
      </c>
      <c r="B168" s="13" t="s">
        <v>2</v>
      </c>
      <c r="C168" s="13" t="s">
        <v>58</v>
      </c>
      <c r="D168" s="13" t="s">
        <v>0</v>
      </c>
      <c r="E168" s="13"/>
      <c r="F168" s="14"/>
      <c r="G168" s="149">
        <f>SUM(G169)</f>
        <v>32014.400000000001</v>
      </c>
    </row>
    <row r="169" spans="1:8" ht="47.25" customHeight="1" x14ac:dyDescent="0.25">
      <c r="A169" s="31" t="s">
        <v>28</v>
      </c>
      <c r="B169" s="13" t="s">
        <v>2</v>
      </c>
      <c r="C169" s="13" t="s">
        <v>58</v>
      </c>
      <c r="D169" s="13" t="s">
        <v>0</v>
      </c>
      <c r="E169" s="13" t="s">
        <v>51</v>
      </c>
      <c r="F169" s="14"/>
      <c r="G169" s="149">
        <f>SUM(G172+G171+G170)</f>
        <v>32014.400000000001</v>
      </c>
    </row>
    <row r="170" spans="1:8" ht="55.2" customHeight="1" x14ac:dyDescent="0.25">
      <c r="A170" s="29" t="s">
        <v>114</v>
      </c>
      <c r="B170" s="13" t="s">
        <v>2</v>
      </c>
      <c r="C170" s="13" t="s">
        <v>58</v>
      </c>
      <c r="D170" s="13" t="s">
        <v>0</v>
      </c>
      <c r="E170" s="13" t="s">
        <v>51</v>
      </c>
      <c r="F170" s="14" t="s">
        <v>19</v>
      </c>
      <c r="G170" s="149">
        <v>17012</v>
      </c>
    </row>
    <row r="171" spans="1:8" ht="32.25" customHeight="1" x14ac:dyDescent="0.25">
      <c r="A171" s="29" t="s">
        <v>115</v>
      </c>
      <c r="B171" s="13" t="s">
        <v>2</v>
      </c>
      <c r="C171" s="13" t="s">
        <v>58</v>
      </c>
      <c r="D171" s="13" t="s">
        <v>0</v>
      </c>
      <c r="E171" s="13" t="s">
        <v>51</v>
      </c>
      <c r="F171" s="14" t="s">
        <v>20</v>
      </c>
      <c r="G171" s="149">
        <v>716.4</v>
      </c>
    </row>
    <row r="172" spans="1:8" ht="31.5" customHeight="1" x14ac:dyDescent="0.25">
      <c r="A172" s="30" t="s">
        <v>116</v>
      </c>
      <c r="B172" s="13" t="s">
        <v>2</v>
      </c>
      <c r="C172" s="13" t="s">
        <v>58</v>
      </c>
      <c r="D172" s="13" t="s">
        <v>0</v>
      </c>
      <c r="E172" s="13" t="s">
        <v>51</v>
      </c>
      <c r="F172" s="14" t="s">
        <v>111</v>
      </c>
      <c r="G172" s="149">
        <v>14286</v>
      </c>
    </row>
    <row r="173" spans="1:8" s="95" customFormat="1" ht="18.75" customHeight="1" x14ac:dyDescent="0.25">
      <c r="A173" s="31" t="s">
        <v>367</v>
      </c>
      <c r="B173" s="13" t="s">
        <v>3</v>
      </c>
      <c r="C173" s="13"/>
      <c r="D173" s="13"/>
      <c r="E173" s="13"/>
      <c r="F173" s="14"/>
      <c r="G173" s="149">
        <f>SUM(G174)</f>
        <v>958305.70000000007</v>
      </c>
      <c r="H173" s="99"/>
    </row>
    <row r="174" spans="1:8" s="95" customFormat="1" x14ac:dyDescent="0.25">
      <c r="A174" s="31" t="s">
        <v>368</v>
      </c>
      <c r="B174" s="13" t="s">
        <v>3</v>
      </c>
      <c r="C174" s="13" t="s">
        <v>58</v>
      </c>
      <c r="D174" s="13"/>
      <c r="E174" s="13"/>
      <c r="F174" s="14"/>
      <c r="G174" s="149">
        <f>SUM(G175+G183+G207+G202+G193+G220+G223)</f>
        <v>958305.70000000007</v>
      </c>
    </row>
    <row r="175" spans="1:8" s="95" customFormat="1" ht="31.2" x14ac:dyDescent="0.25">
      <c r="A175" s="31" t="s">
        <v>536</v>
      </c>
      <c r="B175" s="13" t="s">
        <v>3</v>
      </c>
      <c r="C175" s="13" t="s">
        <v>58</v>
      </c>
      <c r="D175" s="13" t="s">
        <v>0</v>
      </c>
      <c r="E175" s="13"/>
      <c r="F175" s="14"/>
      <c r="G175" s="149">
        <f>SUM(G176+G181+G179)</f>
        <v>9051.9</v>
      </c>
    </row>
    <row r="176" spans="1:8" s="95" customFormat="1" x14ac:dyDescent="0.25">
      <c r="A176" s="31" t="s">
        <v>26</v>
      </c>
      <c r="B176" s="13" t="s">
        <v>3</v>
      </c>
      <c r="C176" s="13" t="s">
        <v>58</v>
      </c>
      <c r="D176" s="13" t="s">
        <v>0</v>
      </c>
      <c r="E176" s="13" t="s">
        <v>41</v>
      </c>
      <c r="F176" s="14"/>
      <c r="G176" s="149">
        <f>SUM(G177:G178)</f>
        <v>8984.1999999999989</v>
      </c>
    </row>
    <row r="177" spans="1:7" s="95" customFormat="1" ht="46.8" x14ac:dyDescent="0.25">
      <c r="A177" s="29" t="s">
        <v>114</v>
      </c>
      <c r="B177" s="13" t="s">
        <v>3</v>
      </c>
      <c r="C177" s="13" t="s">
        <v>58</v>
      </c>
      <c r="D177" s="13" t="s">
        <v>0</v>
      </c>
      <c r="E177" s="13" t="s">
        <v>41</v>
      </c>
      <c r="F177" s="14" t="s">
        <v>19</v>
      </c>
      <c r="G177" s="149">
        <v>8745.7999999999993</v>
      </c>
    </row>
    <row r="178" spans="1:7" s="95" customFormat="1" ht="33.75" customHeight="1" x14ac:dyDescent="0.25">
      <c r="A178" s="29" t="s">
        <v>115</v>
      </c>
      <c r="B178" s="13" t="s">
        <v>3</v>
      </c>
      <c r="C178" s="13" t="s">
        <v>58</v>
      </c>
      <c r="D178" s="13" t="s">
        <v>0</v>
      </c>
      <c r="E178" s="13" t="s">
        <v>41</v>
      </c>
      <c r="F178" s="14" t="s">
        <v>20</v>
      </c>
      <c r="G178" s="149">
        <v>238.4</v>
      </c>
    </row>
    <row r="179" spans="1:7" s="95" customFormat="1" ht="21.75" customHeight="1" x14ac:dyDescent="0.25">
      <c r="A179" s="29" t="s">
        <v>228</v>
      </c>
      <c r="B179" s="13" t="s">
        <v>3</v>
      </c>
      <c r="C179" s="25">
        <v>1</v>
      </c>
      <c r="D179" s="13" t="s">
        <v>0</v>
      </c>
      <c r="E179" s="13" t="s">
        <v>229</v>
      </c>
      <c r="F179" s="13"/>
      <c r="G179" s="149">
        <f>SUM(G180)</f>
        <v>27.7</v>
      </c>
    </row>
    <row r="180" spans="1:7" s="95" customFormat="1" ht="37.5" customHeight="1" x14ac:dyDescent="0.25">
      <c r="A180" s="29" t="s">
        <v>115</v>
      </c>
      <c r="B180" s="13" t="s">
        <v>3</v>
      </c>
      <c r="C180" s="25">
        <v>1</v>
      </c>
      <c r="D180" s="13" t="s">
        <v>0</v>
      </c>
      <c r="E180" s="13" t="s">
        <v>229</v>
      </c>
      <c r="F180" s="13" t="s">
        <v>20</v>
      </c>
      <c r="G180" s="149">
        <v>27.7</v>
      </c>
    </row>
    <row r="181" spans="1:7" s="95" customFormat="1" x14ac:dyDescent="0.25">
      <c r="A181" s="29" t="s">
        <v>234</v>
      </c>
      <c r="B181" s="13" t="s">
        <v>3</v>
      </c>
      <c r="C181" s="13" t="s">
        <v>58</v>
      </c>
      <c r="D181" s="13" t="s">
        <v>0</v>
      </c>
      <c r="E181" s="13" t="s">
        <v>235</v>
      </c>
      <c r="F181" s="14"/>
      <c r="G181" s="149">
        <f>SUM(G182)</f>
        <v>40</v>
      </c>
    </row>
    <row r="182" spans="1:7" s="95" customFormat="1" ht="33" customHeight="1" x14ac:dyDescent="0.25">
      <c r="A182" s="29" t="s">
        <v>115</v>
      </c>
      <c r="B182" s="13" t="s">
        <v>3</v>
      </c>
      <c r="C182" s="13" t="s">
        <v>58</v>
      </c>
      <c r="D182" s="13" t="s">
        <v>0</v>
      </c>
      <c r="E182" s="13" t="s">
        <v>235</v>
      </c>
      <c r="F182" s="14" t="s">
        <v>20</v>
      </c>
      <c r="G182" s="149">
        <v>40</v>
      </c>
    </row>
    <row r="183" spans="1:7" s="95" customFormat="1" ht="23.25" customHeight="1" x14ac:dyDescent="0.25">
      <c r="A183" s="31" t="s">
        <v>686</v>
      </c>
      <c r="B183" s="13" t="s">
        <v>3</v>
      </c>
      <c r="C183" s="13" t="s">
        <v>58</v>
      </c>
      <c r="D183" s="13" t="s">
        <v>1</v>
      </c>
      <c r="E183" s="13"/>
      <c r="F183" s="14"/>
      <c r="G183" s="149">
        <f>G184+G189+G191</f>
        <v>905221.5</v>
      </c>
    </row>
    <row r="184" spans="1:7" s="95" customFormat="1" ht="46.8" x14ac:dyDescent="0.25">
      <c r="A184" s="31" t="s">
        <v>28</v>
      </c>
      <c r="B184" s="13" t="s">
        <v>3</v>
      </c>
      <c r="C184" s="13" t="s">
        <v>58</v>
      </c>
      <c r="D184" s="13" t="s">
        <v>1</v>
      </c>
      <c r="E184" s="13" t="s">
        <v>51</v>
      </c>
      <c r="F184" s="13"/>
      <c r="G184" s="149">
        <f>SUM(G185:G188)</f>
        <v>904926.29999999993</v>
      </c>
    </row>
    <row r="185" spans="1:7" s="95" customFormat="1" ht="46.8" x14ac:dyDescent="0.25">
      <c r="A185" s="29" t="s">
        <v>114</v>
      </c>
      <c r="B185" s="13" t="s">
        <v>3</v>
      </c>
      <c r="C185" s="13" t="s">
        <v>58</v>
      </c>
      <c r="D185" s="13" t="s">
        <v>1</v>
      </c>
      <c r="E185" s="13" t="s">
        <v>51</v>
      </c>
      <c r="F185" s="14" t="s">
        <v>19</v>
      </c>
      <c r="G185" s="149">
        <f>326299.3+61900.7+34.5</f>
        <v>388234.5</v>
      </c>
    </row>
    <row r="186" spans="1:7" s="95" customFormat="1" ht="19.5" customHeight="1" x14ac:dyDescent="0.25">
      <c r="A186" s="29" t="s">
        <v>115</v>
      </c>
      <c r="B186" s="13" t="s">
        <v>3</v>
      </c>
      <c r="C186" s="13" t="s">
        <v>58</v>
      </c>
      <c r="D186" s="13" t="s">
        <v>1</v>
      </c>
      <c r="E186" s="13" t="s">
        <v>51</v>
      </c>
      <c r="F186" s="14" t="s">
        <v>20</v>
      </c>
      <c r="G186" s="149">
        <f>40715.2+7588.7+7531.4</f>
        <v>55835.299999999996</v>
      </c>
    </row>
    <row r="187" spans="1:7" s="95" customFormat="1" ht="31.2" x14ac:dyDescent="0.25">
      <c r="A187" s="30" t="s">
        <v>116</v>
      </c>
      <c r="B187" s="13" t="s">
        <v>3</v>
      </c>
      <c r="C187" s="13" t="s">
        <v>58</v>
      </c>
      <c r="D187" s="13" t="s">
        <v>1</v>
      </c>
      <c r="E187" s="13" t="s">
        <v>51</v>
      </c>
      <c r="F187" s="14" t="s">
        <v>111</v>
      </c>
      <c r="G187" s="149">
        <f>161093.6+273253.1+26167.9</f>
        <v>460514.6</v>
      </c>
    </row>
    <row r="188" spans="1:7" s="95" customFormat="1" x14ac:dyDescent="0.25">
      <c r="A188" s="29" t="s">
        <v>21</v>
      </c>
      <c r="B188" s="13" t="s">
        <v>3</v>
      </c>
      <c r="C188" s="13" t="s">
        <v>58</v>
      </c>
      <c r="D188" s="13" t="s">
        <v>1</v>
      </c>
      <c r="E188" s="13" t="s">
        <v>51</v>
      </c>
      <c r="F188" s="14" t="s">
        <v>22</v>
      </c>
      <c r="G188" s="149">
        <f>329.1+12.8</f>
        <v>341.90000000000003</v>
      </c>
    </row>
    <row r="189" spans="1:7" s="95" customFormat="1" ht="81.75" customHeight="1" x14ac:dyDescent="0.25">
      <c r="A189" s="29" t="s">
        <v>688</v>
      </c>
      <c r="B189" s="13" t="s">
        <v>3</v>
      </c>
      <c r="C189" s="13" t="s">
        <v>58</v>
      </c>
      <c r="D189" s="13" t="s">
        <v>1</v>
      </c>
      <c r="E189" s="13" t="s">
        <v>324</v>
      </c>
      <c r="F189" s="14"/>
      <c r="G189" s="149">
        <f>G190</f>
        <v>213.8</v>
      </c>
    </row>
    <row r="190" spans="1:7" s="95" customFormat="1" ht="31.2" x14ac:dyDescent="0.25">
      <c r="A190" s="30" t="s">
        <v>116</v>
      </c>
      <c r="B190" s="13" t="s">
        <v>3</v>
      </c>
      <c r="C190" s="13" t="s">
        <v>58</v>
      </c>
      <c r="D190" s="13" t="s">
        <v>1</v>
      </c>
      <c r="E190" s="13" t="s">
        <v>324</v>
      </c>
      <c r="F190" s="14" t="s">
        <v>111</v>
      </c>
      <c r="G190" s="149">
        <v>213.8</v>
      </c>
    </row>
    <row r="191" spans="1:7" s="95" customFormat="1" ht="100.5" customHeight="1" x14ac:dyDescent="0.25">
      <c r="A191" s="122" t="s">
        <v>184</v>
      </c>
      <c r="B191" s="13" t="s">
        <v>3</v>
      </c>
      <c r="C191" s="13" t="s">
        <v>58</v>
      </c>
      <c r="D191" s="13" t="s">
        <v>1</v>
      </c>
      <c r="E191" s="13" t="s">
        <v>84</v>
      </c>
      <c r="F191" s="14"/>
      <c r="G191" s="149">
        <f>SUM(G192:G192)</f>
        <v>81.400000000000006</v>
      </c>
    </row>
    <row r="192" spans="1:7" s="95" customFormat="1" ht="31.2" x14ac:dyDescent="0.25">
      <c r="A192" s="30" t="s">
        <v>116</v>
      </c>
      <c r="B192" s="13" t="s">
        <v>3</v>
      </c>
      <c r="C192" s="13" t="s">
        <v>58</v>
      </c>
      <c r="D192" s="13" t="s">
        <v>1</v>
      </c>
      <c r="E192" s="13" t="s">
        <v>84</v>
      </c>
      <c r="F192" s="14" t="s">
        <v>111</v>
      </c>
      <c r="G192" s="149">
        <v>81.400000000000006</v>
      </c>
    </row>
    <row r="193" spans="1:7" s="95" customFormat="1" ht="66" customHeight="1" x14ac:dyDescent="0.25">
      <c r="A193" s="29" t="s">
        <v>689</v>
      </c>
      <c r="B193" s="14" t="s">
        <v>3</v>
      </c>
      <c r="C193" s="16">
        <v>1</v>
      </c>
      <c r="D193" s="14" t="s">
        <v>2</v>
      </c>
      <c r="E193" s="14"/>
      <c r="F193" s="14"/>
      <c r="G193" s="149">
        <f>SUM(G197+G194+G200)</f>
        <v>4470.8</v>
      </c>
    </row>
    <row r="194" spans="1:7" s="95" customFormat="1" x14ac:dyDescent="0.25">
      <c r="A194" s="31" t="s">
        <v>343</v>
      </c>
      <c r="B194" s="14" t="s">
        <v>3</v>
      </c>
      <c r="C194" s="16">
        <v>1</v>
      </c>
      <c r="D194" s="14" t="s">
        <v>2</v>
      </c>
      <c r="E194" s="14" t="s">
        <v>342</v>
      </c>
      <c r="F194" s="14"/>
      <c r="G194" s="149">
        <f>SUM(G195:G196)</f>
        <v>150</v>
      </c>
    </row>
    <row r="195" spans="1:7" s="95" customFormat="1" ht="53.4" customHeight="1" x14ac:dyDescent="0.25">
      <c r="A195" s="29" t="s">
        <v>114</v>
      </c>
      <c r="B195" s="14" t="s">
        <v>3</v>
      </c>
      <c r="C195" s="16">
        <v>1</v>
      </c>
      <c r="D195" s="14" t="s">
        <v>2</v>
      </c>
      <c r="E195" s="14" t="s">
        <v>342</v>
      </c>
      <c r="F195" s="14" t="s">
        <v>19</v>
      </c>
      <c r="G195" s="149">
        <f>150-150</f>
        <v>0</v>
      </c>
    </row>
    <row r="196" spans="1:7" s="95" customFormat="1" ht="37.200000000000003" customHeight="1" x14ac:dyDescent="0.25">
      <c r="A196" s="136" t="s">
        <v>116</v>
      </c>
      <c r="B196" s="135" t="s">
        <v>3</v>
      </c>
      <c r="C196" s="16">
        <v>1</v>
      </c>
      <c r="D196" s="135" t="s">
        <v>2</v>
      </c>
      <c r="E196" s="135" t="s">
        <v>342</v>
      </c>
      <c r="F196" s="135" t="s">
        <v>111</v>
      </c>
      <c r="G196" s="149">
        <v>150</v>
      </c>
    </row>
    <row r="197" spans="1:7" s="95" customFormat="1" ht="31.2" x14ac:dyDescent="0.25">
      <c r="A197" s="77" t="s">
        <v>143</v>
      </c>
      <c r="B197" s="14" t="s">
        <v>3</v>
      </c>
      <c r="C197" s="16">
        <v>1</v>
      </c>
      <c r="D197" s="14" t="s">
        <v>2</v>
      </c>
      <c r="E197" s="14" t="s">
        <v>91</v>
      </c>
      <c r="F197" s="14"/>
      <c r="G197" s="149">
        <f>SUM(G198+G199)</f>
        <v>3282</v>
      </c>
    </row>
    <row r="198" spans="1:7" s="95" customFormat="1" ht="46.8" x14ac:dyDescent="0.25">
      <c r="A198" s="29" t="s">
        <v>114</v>
      </c>
      <c r="B198" s="14" t="s">
        <v>3</v>
      </c>
      <c r="C198" s="16">
        <v>1</v>
      </c>
      <c r="D198" s="14" t="s">
        <v>2</v>
      </c>
      <c r="E198" s="14" t="s">
        <v>91</v>
      </c>
      <c r="F198" s="14" t="s">
        <v>19</v>
      </c>
      <c r="G198" s="149">
        <f>1230+342</f>
        <v>1572</v>
      </c>
    </row>
    <row r="199" spans="1:7" s="95" customFormat="1" ht="31.95" customHeight="1" x14ac:dyDescent="0.25">
      <c r="A199" s="30" t="s">
        <v>116</v>
      </c>
      <c r="B199" s="14" t="s">
        <v>3</v>
      </c>
      <c r="C199" s="16">
        <v>1</v>
      </c>
      <c r="D199" s="14" t="s">
        <v>2</v>
      </c>
      <c r="E199" s="14" t="s">
        <v>91</v>
      </c>
      <c r="F199" s="14" t="s">
        <v>111</v>
      </c>
      <c r="G199" s="149">
        <f>456+1254</f>
        <v>1710</v>
      </c>
    </row>
    <row r="200" spans="1:7" s="95" customFormat="1" ht="19.5" customHeight="1" x14ac:dyDescent="0.25">
      <c r="A200" s="29" t="s">
        <v>711</v>
      </c>
      <c r="B200" s="13" t="s">
        <v>3</v>
      </c>
      <c r="C200" s="16">
        <v>1</v>
      </c>
      <c r="D200" s="14" t="s">
        <v>2</v>
      </c>
      <c r="E200" s="14" t="s">
        <v>64</v>
      </c>
      <c r="F200" s="14"/>
      <c r="G200" s="149">
        <f>SUM(G201:G201)</f>
        <v>1038.8</v>
      </c>
    </row>
    <row r="201" spans="1:7" s="95" customFormat="1" ht="31.2" x14ac:dyDescent="0.25">
      <c r="A201" s="29" t="s">
        <v>115</v>
      </c>
      <c r="B201" s="13" t="s">
        <v>3</v>
      </c>
      <c r="C201" s="16">
        <v>1</v>
      </c>
      <c r="D201" s="14" t="s">
        <v>2</v>
      </c>
      <c r="E201" s="14" t="s">
        <v>64</v>
      </c>
      <c r="F201" s="14" t="s">
        <v>20</v>
      </c>
      <c r="G201" s="149">
        <f>638.8+400</f>
        <v>1038.8</v>
      </c>
    </row>
    <row r="202" spans="1:7" s="95" customFormat="1" ht="31.5" customHeight="1" x14ac:dyDescent="0.25">
      <c r="A202" s="29" t="s">
        <v>537</v>
      </c>
      <c r="B202" s="13" t="s">
        <v>3</v>
      </c>
      <c r="C202" s="16">
        <v>1</v>
      </c>
      <c r="D202" s="14" t="s">
        <v>3</v>
      </c>
      <c r="E202" s="14"/>
      <c r="F202" s="14"/>
      <c r="G202" s="149">
        <f>SUM(G203)</f>
        <v>4196</v>
      </c>
    </row>
    <row r="203" spans="1:7" s="95" customFormat="1" x14ac:dyDescent="0.25">
      <c r="A203" s="73" t="s">
        <v>625</v>
      </c>
      <c r="B203" s="13" t="s">
        <v>3</v>
      </c>
      <c r="C203" s="13" t="s">
        <v>58</v>
      </c>
      <c r="D203" s="14" t="s">
        <v>3</v>
      </c>
      <c r="E203" s="13" t="s">
        <v>626</v>
      </c>
      <c r="F203" s="14"/>
      <c r="G203" s="149">
        <f>SUM(G204:G206)</f>
        <v>4196</v>
      </c>
    </row>
    <row r="204" spans="1:7" s="95" customFormat="1" ht="31.2" x14ac:dyDescent="0.25">
      <c r="A204" s="29" t="s">
        <v>115</v>
      </c>
      <c r="B204" s="13" t="s">
        <v>3</v>
      </c>
      <c r="C204" s="13" t="s">
        <v>58</v>
      </c>
      <c r="D204" s="14" t="s">
        <v>3</v>
      </c>
      <c r="E204" s="13" t="s">
        <v>626</v>
      </c>
      <c r="F204" s="14" t="s">
        <v>20</v>
      </c>
      <c r="G204" s="149">
        <f>2750-400</f>
        <v>2350</v>
      </c>
    </row>
    <row r="205" spans="1:7" s="95" customFormat="1" x14ac:dyDescent="0.25">
      <c r="A205" s="29" t="s">
        <v>117</v>
      </c>
      <c r="B205" s="13" t="s">
        <v>3</v>
      </c>
      <c r="C205" s="13" t="s">
        <v>58</v>
      </c>
      <c r="D205" s="14" t="s">
        <v>3</v>
      </c>
      <c r="E205" s="13" t="s">
        <v>626</v>
      </c>
      <c r="F205" s="14" t="s">
        <v>109</v>
      </c>
      <c r="G205" s="149">
        <v>546</v>
      </c>
    </row>
    <row r="206" spans="1:7" s="95" customFormat="1" ht="31.2" x14ac:dyDescent="0.25">
      <c r="A206" s="30" t="s">
        <v>116</v>
      </c>
      <c r="B206" s="13" t="s">
        <v>3</v>
      </c>
      <c r="C206" s="13" t="s">
        <v>58</v>
      </c>
      <c r="D206" s="14" t="s">
        <v>3</v>
      </c>
      <c r="E206" s="13" t="s">
        <v>626</v>
      </c>
      <c r="F206" s="14" t="s">
        <v>111</v>
      </c>
      <c r="G206" s="149">
        <f>300+700+300</f>
        <v>1300</v>
      </c>
    </row>
    <row r="207" spans="1:7" s="95" customFormat="1" ht="31.2" x14ac:dyDescent="0.25">
      <c r="A207" s="31" t="s">
        <v>488</v>
      </c>
      <c r="B207" s="13" t="s">
        <v>3</v>
      </c>
      <c r="C207" s="13" t="s">
        <v>58</v>
      </c>
      <c r="D207" s="13" t="s">
        <v>4</v>
      </c>
      <c r="E207" s="13"/>
      <c r="F207" s="14"/>
      <c r="G207" s="149">
        <f>SUM(G214+G216+G218+G211+G208)</f>
        <v>14072.6</v>
      </c>
    </row>
    <row r="208" spans="1:7" s="95" customFormat="1" x14ac:dyDescent="0.25">
      <c r="A208" s="75" t="s">
        <v>628</v>
      </c>
      <c r="B208" s="13" t="s">
        <v>3</v>
      </c>
      <c r="C208" s="13" t="s">
        <v>58</v>
      </c>
      <c r="D208" s="13" t="s">
        <v>4</v>
      </c>
      <c r="E208" s="13" t="s">
        <v>627</v>
      </c>
      <c r="F208" s="14"/>
      <c r="G208" s="149">
        <f>SUM(G209:G210)</f>
        <v>545</v>
      </c>
    </row>
    <row r="209" spans="1:7" s="95" customFormat="1" ht="31.2" x14ac:dyDescent="0.25">
      <c r="A209" s="29" t="s">
        <v>115</v>
      </c>
      <c r="B209" s="13" t="s">
        <v>3</v>
      </c>
      <c r="C209" s="13" t="s">
        <v>58</v>
      </c>
      <c r="D209" s="13" t="s">
        <v>4</v>
      </c>
      <c r="E209" s="13" t="s">
        <v>627</v>
      </c>
      <c r="F209" s="14" t="s">
        <v>20</v>
      </c>
      <c r="G209" s="149">
        <f>300+45</f>
        <v>345</v>
      </c>
    </row>
    <row r="210" spans="1:7" s="95" customFormat="1" ht="31.2" x14ac:dyDescent="0.25">
      <c r="A210" s="30" t="s">
        <v>116</v>
      </c>
      <c r="B210" s="13" t="s">
        <v>3</v>
      </c>
      <c r="C210" s="13" t="s">
        <v>58</v>
      </c>
      <c r="D210" s="13" t="s">
        <v>4</v>
      </c>
      <c r="E210" s="13" t="s">
        <v>627</v>
      </c>
      <c r="F210" s="14" t="s">
        <v>111</v>
      </c>
      <c r="G210" s="149">
        <v>200</v>
      </c>
    </row>
    <row r="211" spans="1:7" s="95" customFormat="1" ht="31.2" x14ac:dyDescent="0.25">
      <c r="A211" s="29" t="s">
        <v>564</v>
      </c>
      <c r="B211" s="14" t="s">
        <v>3</v>
      </c>
      <c r="C211" s="16">
        <v>1</v>
      </c>
      <c r="D211" s="13" t="s">
        <v>4</v>
      </c>
      <c r="E211" s="14" t="s">
        <v>546</v>
      </c>
      <c r="F211" s="14"/>
      <c r="G211" s="149">
        <f>SUM(G212:G213)</f>
        <v>6667.7000000000007</v>
      </c>
    </row>
    <row r="212" spans="1:7" s="95" customFormat="1" ht="31.2" x14ac:dyDescent="0.25">
      <c r="A212" s="29" t="s">
        <v>115</v>
      </c>
      <c r="B212" s="14" t="s">
        <v>3</v>
      </c>
      <c r="C212" s="16">
        <v>1</v>
      </c>
      <c r="D212" s="13" t="s">
        <v>4</v>
      </c>
      <c r="E212" s="14" t="s">
        <v>546</v>
      </c>
      <c r="F212" s="14" t="s">
        <v>20</v>
      </c>
      <c r="G212" s="149">
        <f>2972.3+617.3-85</f>
        <v>3504.6000000000004</v>
      </c>
    </row>
    <row r="213" spans="1:7" s="95" customFormat="1" ht="31.2" x14ac:dyDescent="0.25">
      <c r="A213" s="30" t="s">
        <v>116</v>
      </c>
      <c r="B213" s="14" t="s">
        <v>3</v>
      </c>
      <c r="C213" s="16">
        <v>1</v>
      </c>
      <c r="D213" s="13" t="s">
        <v>4</v>
      </c>
      <c r="E213" s="14" t="s">
        <v>546</v>
      </c>
      <c r="F213" s="14" t="s">
        <v>111</v>
      </c>
      <c r="G213" s="149">
        <f>3123.1+40</f>
        <v>3163.1</v>
      </c>
    </row>
    <row r="214" spans="1:7" s="95" customFormat="1" ht="31.2" x14ac:dyDescent="0.25">
      <c r="A214" s="29" t="s">
        <v>492</v>
      </c>
      <c r="B214" s="13" t="s">
        <v>3</v>
      </c>
      <c r="C214" s="13" t="s">
        <v>58</v>
      </c>
      <c r="D214" s="13" t="s">
        <v>4</v>
      </c>
      <c r="E214" s="13" t="s">
        <v>491</v>
      </c>
      <c r="F214" s="14"/>
      <c r="G214" s="149">
        <f>SUM(G215)</f>
        <v>6226.0999999999995</v>
      </c>
    </row>
    <row r="215" spans="1:7" s="95" customFormat="1" ht="31.2" x14ac:dyDescent="0.25">
      <c r="A215" s="29" t="s">
        <v>115</v>
      </c>
      <c r="B215" s="13" t="s">
        <v>3</v>
      </c>
      <c r="C215" s="13" t="s">
        <v>58</v>
      </c>
      <c r="D215" s="13" t="s">
        <v>4</v>
      </c>
      <c r="E215" s="13" t="s">
        <v>491</v>
      </c>
      <c r="F215" s="14" t="s">
        <v>20</v>
      </c>
      <c r="G215" s="149">
        <f>5105.4+1120.7</f>
        <v>6226.0999999999995</v>
      </c>
    </row>
    <row r="216" spans="1:7" s="95" customFormat="1" ht="31.2" x14ac:dyDescent="0.25">
      <c r="A216" s="29" t="s">
        <v>490</v>
      </c>
      <c r="B216" s="13" t="s">
        <v>3</v>
      </c>
      <c r="C216" s="13" t="s">
        <v>58</v>
      </c>
      <c r="D216" s="13" t="s">
        <v>4</v>
      </c>
      <c r="E216" s="13" t="s">
        <v>489</v>
      </c>
      <c r="F216" s="14"/>
      <c r="G216" s="149">
        <f>SUM(G217)</f>
        <v>0</v>
      </c>
    </row>
    <row r="217" spans="1:7" s="95" customFormat="1" ht="31.2" x14ac:dyDescent="0.25">
      <c r="A217" s="30" t="s">
        <v>116</v>
      </c>
      <c r="B217" s="13" t="s">
        <v>3</v>
      </c>
      <c r="C217" s="13" t="s">
        <v>58</v>
      </c>
      <c r="D217" s="13" t="s">
        <v>4</v>
      </c>
      <c r="E217" s="13" t="s">
        <v>489</v>
      </c>
      <c r="F217" s="14" t="s">
        <v>111</v>
      </c>
      <c r="G217" s="149">
        <f>1199.6-1199.6</f>
        <v>0</v>
      </c>
    </row>
    <row r="218" spans="1:7" s="95" customFormat="1" x14ac:dyDescent="0.25">
      <c r="A218" s="32" t="s">
        <v>226</v>
      </c>
      <c r="B218" s="13" t="s">
        <v>3</v>
      </c>
      <c r="C218" s="13" t="s">
        <v>58</v>
      </c>
      <c r="D218" s="13" t="s">
        <v>4</v>
      </c>
      <c r="E218" s="13" t="s">
        <v>305</v>
      </c>
      <c r="F218" s="14"/>
      <c r="G218" s="149">
        <f>SUM(G219)</f>
        <v>633.80000000000007</v>
      </c>
    </row>
    <row r="219" spans="1:7" s="95" customFormat="1" ht="31.2" x14ac:dyDescent="0.25">
      <c r="A219" s="30" t="s">
        <v>116</v>
      </c>
      <c r="B219" s="13" t="s">
        <v>3</v>
      </c>
      <c r="C219" s="13" t="s">
        <v>58</v>
      </c>
      <c r="D219" s="13" t="s">
        <v>4</v>
      </c>
      <c r="E219" s="13" t="s">
        <v>305</v>
      </c>
      <c r="F219" s="14" t="s">
        <v>111</v>
      </c>
      <c r="G219" s="149">
        <f>519.7+114.1</f>
        <v>633.80000000000007</v>
      </c>
    </row>
    <row r="220" spans="1:7" s="95" customFormat="1" ht="36.6" customHeight="1" x14ac:dyDescent="0.25">
      <c r="A220" s="30" t="s">
        <v>520</v>
      </c>
      <c r="B220" s="13" t="s">
        <v>3</v>
      </c>
      <c r="C220" s="13" t="s">
        <v>58</v>
      </c>
      <c r="D220" s="13" t="s">
        <v>10</v>
      </c>
      <c r="E220" s="13"/>
      <c r="F220" s="14"/>
      <c r="G220" s="149">
        <f>SUM(G221)</f>
        <v>8089.8</v>
      </c>
    </row>
    <row r="221" spans="1:7" s="95" customFormat="1" ht="31.2" x14ac:dyDescent="0.25">
      <c r="A221" s="108" t="s">
        <v>630</v>
      </c>
      <c r="B221" s="13" t="s">
        <v>3</v>
      </c>
      <c r="C221" s="13" t="s">
        <v>58</v>
      </c>
      <c r="D221" s="13" t="s">
        <v>10</v>
      </c>
      <c r="E221" s="13" t="s">
        <v>629</v>
      </c>
      <c r="F221" s="14"/>
      <c r="G221" s="149">
        <f>G222</f>
        <v>8089.8</v>
      </c>
    </row>
    <row r="222" spans="1:7" s="95" customFormat="1" ht="31.2" x14ac:dyDescent="0.25">
      <c r="A222" s="29" t="s">
        <v>115</v>
      </c>
      <c r="B222" s="13" t="s">
        <v>3</v>
      </c>
      <c r="C222" s="13" t="s">
        <v>58</v>
      </c>
      <c r="D222" s="13" t="s">
        <v>10</v>
      </c>
      <c r="E222" s="13" t="s">
        <v>629</v>
      </c>
      <c r="F222" s="14" t="s">
        <v>20</v>
      </c>
      <c r="G222" s="149">
        <v>8089.8</v>
      </c>
    </row>
    <row r="223" spans="1:7" s="95" customFormat="1" x14ac:dyDescent="0.25">
      <c r="A223" s="73" t="s">
        <v>690</v>
      </c>
      <c r="B223" s="46" t="s">
        <v>3</v>
      </c>
      <c r="C223" s="46" t="s">
        <v>58</v>
      </c>
      <c r="D223" s="46" t="s">
        <v>582</v>
      </c>
      <c r="E223" s="46"/>
      <c r="F223" s="72"/>
      <c r="G223" s="149">
        <f>G224+G226+G228</f>
        <v>13203.1</v>
      </c>
    </row>
    <row r="224" spans="1:7" s="95" customFormat="1" x14ac:dyDescent="0.25">
      <c r="A224" s="125" t="s">
        <v>226</v>
      </c>
      <c r="B224" s="46" t="s">
        <v>3</v>
      </c>
      <c r="C224" s="46" t="s">
        <v>58</v>
      </c>
      <c r="D224" s="46" t="s">
        <v>582</v>
      </c>
      <c r="E224" s="46" t="s">
        <v>225</v>
      </c>
      <c r="F224" s="72"/>
      <c r="G224" s="149">
        <f>G225</f>
        <v>4586.5</v>
      </c>
    </row>
    <row r="225" spans="1:7" s="95" customFormat="1" ht="31.2" x14ac:dyDescent="0.25">
      <c r="A225" s="73" t="s">
        <v>116</v>
      </c>
      <c r="B225" s="46" t="s">
        <v>3</v>
      </c>
      <c r="C225" s="46" t="s">
        <v>58</v>
      </c>
      <c r="D225" s="46" t="s">
        <v>582</v>
      </c>
      <c r="E225" s="46" t="s">
        <v>225</v>
      </c>
      <c r="F225" s="72" t="s">
        <v>111</v>
      </c>
      <c r="G225" s="149">
        <f>3760.9+825.6</f>
        <v>4586.5</v>
      </c>
    </row>
    <row r="226" spans="1:7" s="95" customFormat="1" x14ac:dyDescent="0.25">
      <c r="A226" s="118" t="s">
        <v>632</v>
      </c>
      <c r="B226" s="46" t="s">
        <v>3</v>
      </c>
      <c r="C226" s="46" t="s">
        <v>58</v>
      </c>
      <c r="D226" s="46" t="s">
        <v>582</v>
      </c>
      <c r="E226" s="46" t="s">
        <v>622</v>
      </c>
      <c r="F226" s="72"/>
      <c r="G226" s="149">
        <f>G227</f>
        <v>8436.1</v>
      </c>
    </row>
    <row r="227" spans="1:7" s="95" customFormat="1" ht="31.2" x14ac:dyDescent="0.25">
      <c r="A227" s="73" t="s">
        <v>116</v>
      </c>
      <c r="B227" s="46" t="s">
        <v>3</v>
      </c>
      <c r="C227" s="46" t="s">
        <v>58</v>
      </c>
      <c r="D227" s="46" t="s">
        <v>582</v>
      </c>
      <c r="E227" s="46" t="s">
        <v>622</v>
      </c>
      <c r="F227" s="72" t="s">
        <v>111</v>
      </c>
      <c r="G227" s="149">
        <f>6917.6+1518.5</f>
        <v>8436.1</v>
      </c>
    </row>
    <row r="228" spans="1:7" s="95" customFormat="1" ht="22.2" customHeight="1" x14ac:dyDescent="0.25">
      <c r="A228" s="125" t="s">
        <v>716</v>
      </c>
      <c r="B228" s="46" t="s">
        <v>3</v>
      </c>
      <c r="C228" s="46" t="s">
        <v>58</v>
      </c>
      <c r="D228" s="46" t="s">
        <v>582</v>
      </c>
      <c r="E228" s="46" t="s">
        <v>714</v>
      </c>
      <c r="F228" s="72"/>
      <c r="G228" s="149">
        <f>G229</f>
        <v>180.5</v>
      </c>
    </row>
    <row r="229" spans="1:7" s="95" customFormat="1" ht="31.2" x14ac:dyDescent="0.25">
      <c r="A229" s="125" t="s">
        <v>116</v>
      </c>
      <c r="B229" s="46" t="s">
        <v>3</v>
      </c>
      <c r="C229" s="46" t="s">
        <v>58</v>
      </c>
      <c r="D229" s="46" t="s">
        <v>582</v>
      </c>
      <c r="E229" s="46" t="s">
        <v>714</v>
      </c>
      <c r="F229" s="72" t="s">
        <v>111</v>
      </c>
      <c r="G229" s="149">
        <v>180.5</v>
      </c>
    </row>
    <row r="230" spans="1:7" s="95" customFormat="1" ht="18" customHeight="1" x14ac:dyDescent="0.25">
      <c r="A230" s="120" t="s">
        <v>371</v>
      </c>
      <c r="B230" s="13" t="s">
        <v>4</v>
      </c>
      <c r="C230" s="13"/>
      <c r="D230" s="13"/>
      <c r="E230" s="13"/>
      <c r="F230" s="14"/>
      <c r="G230" s="149">
        <f>SUM(G231+G246+G251)</f>
        <v>238893</v>
      </c>
    </row>
    <row r="231" spans="1:7" s="95" customFormat="1" ht="20.25" customHeight="1" x14ac:dyDescent="0.25">
      <c r="A231" s="120" t="s">
        <v>155</v>
      </c>
      <c r="B231" s="13" t="s">
        <v>4</v>
      </c>
      <c r="C231" s="13" t="s">
        <v>58</v>
      </c>
      <c r="D231" s="13"/>
      <c r="E231" s="13"/>
      <c r="F231" s="14"/>
      <c r="G231" s="149">
        <f>G232</f>
        <v>180963.19999999998</v>
      </c>
    </row>
    <row r="232" spans="1:7" s="95" customFormat="1" ht="36.75" customHeight="1" x14ac:dyDescent="0.25">
      <c r="A232" s="120" t="s">
        <v>667</v>
      </c>
      <c r="B232" s="13" t="s">
        <v>4</v>
      </c>
      <c r="C232" s="13" t="s">
        <v>58</v>
      </c>
      <c r="D232" s="13" t="s">
        <v>0</v>
      </c>
      <c r="E232" s="13"/>
      <c r="F232" s="14"/>
      <c r="G232" s="149">
        <f>SUM(G233+G235+G238+G240+G242+G244)</f>
        <v>180963.19999999998</v>
      </c>
    </row>
    <row r="233" spans="1:7" s="95" customFormat="1" ht="18" customHeight="1" x14ac:dyDescent="0.25">
      <c r="A233" s="120" t="s">
        <v>106</v>
      </c>
      <c r="B233" s="13" t="s">
        <v>4</v>
      </c>
      <c r="C233" s="13" t="s">
        <v>58</v>
      </c>
      <c r="D233" s="13" t="s">
        <v>0</v>
      </c>
      <c r="E233" s="13" t="s">
        <v>51</v>
      </c>
      <c r="F233" s="14"/>
      <c r="G233" s="149">
        <f>SUM(G234:G234)</f>
        <v>174723.9</v>
      </c>
    </row>
    <row r="234" spans="1:7" s="95" customFormat="1" ht="36" customHeight="1" x14ac:dyDescent="0.25">
      <c r="A234" s="30" t="s">
        <v>116</v>
      </c>
      <c r="B234" s="13" t="s">
        <v>4</v>
      </c>
      <c r="C234" s="13" t="s">
        <v>58</v>
      </c>
      <c r="D234" s="13" t="s">
        <v>0</v>
      </c>
      <c r="E234" s="13" t="s">
        <v>51</v>
      </c>
      <c r="F234" s="14" t="s">
        <v>111</v>
      </c>
      <c r="G234" s="149">
        <v>174723.9</v>
      </c>
    </row>
    <row r="235" spans="1:7" s="95" customFormat="1" ht="36.75" customHeight="1" x14ac:dyDescent="0.25">
      <c r="A235" s="120" t="s">
        <v>373</v>
      </c>
      <c r="B235" s="13" t="s">
        <v>4</v>
      </c>
      <c r="C235" s="13" t="s">
        <v>58</v>
      </c>
      <c r="D235" s="13" t="s">
        <v>0</v>
      </c>
      <c r="E235" s="13" t="s">
        <v>131</v>
      </c>
      <c r="F235" s="14"/>
      <c r="G235" s="149">
        <f>SUM(G236+G237)</f>
        <v>1766</v>
      </c>
    </row>
    <row r="236" spans="1:7" s="95" customFormat="1" ht="31.5" customHeight="1" x14ac:dyDescent="0.25">
      <c r="A236" s="29" t="s">
        <v>115</v>
      </c>
      <c r="B236" s="13" t="s">
        <v>4</v>
      </c>
      <c r="C236" s="13" t="s">
        <v>58</v>
      </c>
      <c r="D236" s="13" t="s">
        <v>0</v>
      </c>
      <c r="E236" s="13" t="s">
        <v>131</v>
      </c>
      <c r="F236" s="14" t="s">
        <v>20</v>
      </c>
      <c r="G236" s="149">
        <v>750</v>
      </c>
    </row>
    <row r="237" spans="1:7" s="95" customFormat="1" ht="22.5" customHeight="1" x14ac:dyDescent="0.25">
      <c r="A237" s="29" t="s">
        <v>117</v>
      </c>
      <c r="B237" s="13" t="s">
        <v>4</v>
      </c>
      <c r="C237" s="13" t="s">
        <v>58</v>
      </c>
      <c r="D237" s="13" t="s">
        <v>0</v>
      </c>
      <c r="E237" s="13" t="s">
        <v>131</v>
      </c>
      <c r="F237" s="14" t="s">
        <v>109</v>
      </c>
      <c r="G237" s="149">
        <v>1016</v>
      </c>
    </row>
    <row r="238" spans="1:7" s="95" customFormat="1" ht="36" customHeight="1" x14ac:dyDescent="0.25">
      <c r="A238" s="118" t="s">
        <v>143</v>
      </c>
      <c r="B238" s="13" t="s">
        <v>4</v>
      </c>
      <c r="C238" s="13" t="s">
        <v>58</v>
      </c>
      <c r="D238" s="13" t="s">
        <v>0</v>
      </c>
      <c r="E238" s="13" t="s">
        <v>91</v>
      </c>
      <c r="F238" s="14"/>
      <c r="G238" s="149">
        <f>SUM(G239)</f>
        <v>228</v>
      </c>
    </row>
    <row r="239" spans="1:7" s="95" customFormat="1" ht="31.5" customHeight="1" x14ac:dyDescent="0.25">
      <c r="A239" s="30" t="s">
        <v>116</v>
      </c>
      <c r="B239" s="13" t="s">
        <v>4</v>
      </c>
      <c r="C239" s="13" t="s">
        <v>58</v>
      </c>
      <c r="D239" s="13" t="s">
        <v>0</v>
      </c>
      <c r="E239" s="13" t="s">
        <v>91</v>
      </c>
      <c r="F239" s="14" t="s">
        <v>111</v>
      </c>
      <c r="G239" s="149">
        <f>204+24</f>
        <v>228</v>
      </c>
    </row>
    <row r="240" spans="1:7" s="95" customFormat="1" ht="36" customHeight="1" x14ac:dyDescent="0.25">
      <c r="A240" s="119" t="s">
        <v>691</v>
      </c>
      <c r="B240" s="13" t="s">
        <v>4</v>
      </c>
      <c r="C240" s="13" t="s">
        <v>58</v>
      </c>
      <c r="D240" s="13" t="s">
        <v>0</v>
      </c>
      <c r="E240" s="13" t="s">
        <v>292</v>
      </c>
      <c r="F240" s="14"/>
      <c r="G240" s="149">
        <f>G241</f>
        <v>1039</v>
      </c>
    </row>
    <row r="241" spans="1:7" s="95" customFormat="1" ht="31.5" customHeight="1" x14ac:dyDescent="0.25">
      <c r="A241" s="30" t="s">
        <v>116</v>
      </c>
      <c r="B241" s="13" t="s">
        <v>4</v>
      </c>
      <c r="C241" s="13" t="s">
        <v>58</v>
      </c>
      <c r="D241" s="13" t="s">
        <v>0</v>
      </c>
      <c r="E241" s="13" t="s">
        <v>292</v>
      </c>
      <c r="F241" s="14" t="s">
        <v>111</v>
      </c>
      <c r="G241" s="149">
        <v>1039</v>
      </c>
    </row>
    <row r="242" spans="1:7" s="95" customFormat="1" ht="120" customHeight="1" x14ac:dyDescent="0.25">
      <c r="A242" s="123" t="s">
        <v>659</v>
      </c>
      <c r="B242" s="13" t="s">
        <v>4</v>
      </c>
      <c r="C242" s="13" t="s">
        <v>58</v>
      </c>
      <c r="D242" s="13" t="s">
        <v>0</v>
      </c>
      <c r="E242" s="13" t="s">
        <v>96</v>
      </c>
      <c r="F242" s="14"/>
      <c r="G242" s="149">
        <f>G243</f>
        <v>625</v>
      </c>
    </row>
    <row r="243" spans="1:7" s="95" customFormat="1" ht="31.5" customHeight="1" x14ac:dyDescent="0.25">
      <c r="A243" s="30" t="s">
        <v>116</v>
      </c>
      <c r="B243" s="13" t="s">
        <v>4</v>
      </c>
      <c r="C243" s="13" t="s">
        <v>58</v>
      </c>
      <c r="D243" s="13" t="s">
        <v>0</v>
      </c>
      <c r="E243" s="13" t="s">
        <v>96</v>
      </c>
      <c r="F243" s="14" t="s">
        <v>111</v>
      </c>
      <c r="G243" s="149">
        <v>625</v>
      </c>
    </row>
    <row r="244" spans="1:7" s="95" customFormat="1" ht="33.75" customHeight="1" x14ac:dyDescent="0.25">
      <c r="A244" s="29" t="s">
        <v>200</v>
      </c>
      <c r="B244" s="13" t="s">
        <v>4</v>
      </c>
      <c r="C244" s="13" t="s">
        <v>58</v>
      </c>
      <c r="D244" s="13" t="s">
        <v>0</v>
      </c>
      <c r="E244" s="13" t="s">
        <v>198</v>
      </c>
      <c r="F244" s="14"/>
      <c r="G244" s="149">
        <f>G245</f>
        <v>2581.3000000000002</v>
      </c>
    </row>
    <row r="245" spans="1:7" s="95" customFormat="1" ht="31.5" customHeight="1" x14ac:dyDescent="0.25">
      <c r="A245" s="30" t="s">
        <v>116</v>
      </c>
      <c r="B245" s="13" t="s">
        <v>4</v>
      </c>
      <c r="C245" s="13" t="s">
        <v>58</v>
      </c>
      <c r="D245" s="13" t="s">
        <v>0</v>
      </c>
      <c r="E245" s="13" t="s">
        <v>198</v>
      </c>
      <c r="F245" s="14" t="s">
        <v>111</v>
      </c>
      <c r="G245" s="149">
        <f>2137.9+363.5+79.8+0.1</f>
        <v>2581.3000000000002</v>
      </c>
    </row>
    <row r="246" spans="1:7" s="95" customFormat="1" ht="18" customHeight="1" x14ac:dyDescent="0.25">
      <c r="A246" s="31" t="s">
        <v>157</v>
      </c>
      <c r="B246" s="13" t="s">
        <v>4</v>
      </c>
      <c r="C246" s="13" t="s">
        <v>93</v>
      </c>
      <c r="D246" s="13"/>
      <c r="E246" s="13"/>
      <c r="F246" s="14"/>
      <c r="G246" s="149">
        <f>G247</f>
        <v>1625</v>
      </c>
    </row>
    <row r="247" spans="1:7" s="95" customFormat="1" ht="49.5" customHeight="1" x14ac:dyDescent="0.25">
      <c r="A247" s="31" t="s">
        <v>133</v>
      </c>
      <c r="B247" s="13" t="s">
        <v>4</v>
      </c>
      <c r="C247" s="13" t="s">
        <v>93</v>
      </c>
      <c r="D247" s="13" t="s">
        <v>0</v>
      </c>
      <c r="E247" s="13"/>
      <c r="F247" s="14"/>
      <c r="G247" s="149">
        <f>G248</f>
        <v>1625</v>
      </c>
    </row>
    <row r="248" spans="1:7" s="95" customFormat="1" ht="34.5" customHeight="1" x14ac:dyDescent="0.25">
      <c r="A248" s="31" t="s">
        <v>374</v>
      </c>
      <c r="B248" s="13" t="s">
        <v>4</v>
      </c>
      <c r="C248" s="13" t="s">
        <v>93</v>
      </c>
      <c r="D248" s="13" t="s">
        <v>0</v>
      </c>
      <c r="E248" s="13" t="s">
        <v>132</v>
      </c>
      <c r="F248" s="14"/>
      <c r="G248" s="149">
        <f>G249+G250</f>
        <v>1625</v>
      </c>
    </row>
    <row r="249" spans="1:7" s="95" customFormat="1" ht="34.5" customHeight="1" x14ac:dyDescent="0.25">
      <c r="A249" s="29" t="s">
        <v>115</v>
      </c>
      <c r="B249" s="13" t="s">
        <v>4</v>
      </c>
      <c r="C249" s="13" t="s">
        <v>93</v>
      </c>
      <c r="D249" s="13" t="s">
        <v>0</v>
      </c>
      <c r="E249" s="13" t="s">
        <v>132</v>
      </c>
      <c r="F249" s="14" t="s">
        <v>20</v>
      </c>
      <c r="G249" s="149">
        <v>1475</v>
      </c>
    </row>
    <row r="250" spans="1:7" s="95" customFormat="1" ht="18" customHeight="1" x14ac:dyDescent="0.25">
      <c r="A250" s="29" t="s">
        <v>117</v>
      </c>
      <c r="B250" s="13" t="s">
        <v>4</v>
      </c>
      <c r="C250" s="13" t="s">
        <v>93</v>
      </c>
      <c r="D250" s="13" t="s">
        <v>0</v>
      </c>
      <c r="E250" s="13" t="s">
        <v>132</v>
      </c>
      <c r="F250" s="14" t="s">
        <v>109</v>
      </c>
      <c r="G250" s="149">
        <v>150</v>
      </c>
    </row>
    <row r="251" spans="1:7" s="95" customFormat="1" ht="52.5" customHeight="1" x14ac:dyDescent="0.25">
      <c r="A251" s="117" t="s">
        <v>154</v>
      </c>
      <c r="B251" s="13" t="s">
        <v>4</v>
      </c>
      <c r="C251" s="13" t="s">
        <v>101</v>
      </c>
      <c r="D251" s="13"/>
      <c r="E251" s="13"/>
      <c r="F251" s="14"/>
      <c r="G251" s="149">
        <f>G252+G261</f>
        <v>56304.800000000003</v>
      </c>
    </row>
    <row r="252" spans="1:7" s="95" customFormat="1" ht="39" customHeight="1" x14ac:dyDescent="0.25">
      <c r="A252" s="117" t="s">
        <v>631</v>
      </c>
      <c r="B252" s="13" t="s">
        <v>4</v>
      </c>
      <c r="C252" s="13" t="s">
        <v>101</v>
      </c>
      <c r="D252" s="13" t="s">
        <v>0</v>
      </c>
      <c r="E252" s="13"/>
      <c r="F252" s="14"/>
      <c r="G252" s="149">
        <f>G253+G257+G259</f>
        <v>7760</v>
      </c>
    </row>
    <row r="253" spans="1:7" s="95" customFormat="1" ht="24.75" customHeight="1" x14ac:dyDescent="0.25">
      <c r="A253" s="29" t="s">
        <v>17</v>
      </c>
      <c r="B253" s="13" t="s">
        <v>4</v>
      </c>
      <c r="C253" s="13" t="s">
        <v>101</v>
      </c>
      <c r="D253" s="13" t="s">
        <v>0</v>
      </c>
      <c r="E253" s="13" t="s">
        <v>41</v>
      </c>
      <c r="F253" s="14"/>
      <c r="G253" s="149">
        <f>SUM(G254:G256)</f>
        <v>7714.9</v>
      </c>
    </row>
    <row r="254" spans="1:7" s="95" customFormat="1" ht="47.25" customHeight="1" x14ac:dyDescent="0.25">
      <c r="A254" s="29" t="s">
        <v>114</v>
      </c>
      <c r="B254" s="13" t="s">
        <v>4</v>
      </c>
      <c r="C254" s="13" t="s">
        <v>101</v>
      </c>
      <c r="D254" s="13" t="s">
        <v>0</v>
      </c>
      <c r="E254" s="13" t="s">
        <v>41</v>
      </c>
      <c r="F254" s="14" t="s">
        <v>19</v>
      </c>
      <c r="G254" s="149">
        <v>7430.9</v>
      </c>
    </row>
    <row r="255" spans="1:7" s="95" customFormat="1" ht="31.5" customHeight="1" x14ac:dyDescent="0.25">
      <c r="A255" s="29" t="s">
        <v>115</v>
      </c>
      <c r="B255" s="13" t="s">
        <v>4</v>
      </c>
      <c r="C255" s="13" t="s">
        <v>101</v>
      </c>
      <c r="D255" s="13" t="s">
        <v>0</v>
      </c>
      <c r="E255" s="13" t="s">
        <v>41</v>
      </c>
      <c r="F255" s="14" t="s">
        <v>20</v>
      </c>
      <c r="G255" s="149">
        <f>278.3+4.9</f>
        <v>283.2</v>
      </c>
    </row>
    <row r="256" spans="1:7" s="95" customFormat="1" ht="18" customHeight="1" x14ac:dyDescent="0.25">
      <c r="A256" s="29" t="s">
        <v>21</v>
      </c>
      <c r="B256" s="13" t="s">
        <v>4</v>
      </c>
      <c r="C256" s="13" t="s">
        <v>101</v>
      </c>
      <c r="D256" s="13" t="s">
        <v>0</v>
      </c>
      <c r="E256" s="13" t="s">
        <v>41</v>
      </c>
      <c r="F256" s="14" t="s">
        <v>22</v>
      </c>
      <c r="G256" s="149">
        <v>0.8</v>
      </c>
    </row>
    <row r="257" spans="1:7" s="95" customFormat="1" ht="18" customHeight="1" x14ac:dyDescent="0.25">
      <c r="A257" s="29" t="s">
        <v>228</v>
      </c>
      <c r="B257" s="13" t="s">
        <v>4</v>
      </c>
      <c r="C257" s="13" t="s">
        <v>101</v>
      </c>
      <c r="D257" s="13" t="s">
        <v>0</v>
      </c>
      <c r="E257" s="13" t="s">
        <v>229</v>
      </c>
      <c r="F257" s="14"/>
      <c r="G257" s="149">
        <f>SUM(G258)</f>
        <v>31.1</v>
      </c>
    </row>
    <row r="258" spans="1:7" s="95" customFormat="1" ht="31.5" customHeight="1" x14ac:dyDescent="0.25">
      <c r="A258" s="30" t="s">
        <v>116</v>
      </c>
      <c r="B258" s="13" t="s">
        <v>4</v>
      </c>
      <c r="C258" s="13" t="s">
        <v>101</v>
      </c>
      <c r="D258" s="13" t="s">
        <v>0</v>
      </c>
      <c r="E258" s="13" t="s">
        <v>229</v>
      </c>
      <c r="F258" s="14" t="s">
        <v>20</v>
      </c>
      <c r="G258" s="149">
        <v>31.1</v>
      </c>
    </row>
    <row r="259" spans="1:7" s="95" customFormat="1" ht="26.25" customHeight="1" x14ac:dyDescent="0.25">
      <c r="A259" s="31" t="s">
        <v>234</v>
      </c>
      <c r="B259" s="13" t="s">
        <v>4</v>
      </c>
      <c r="C259" s="13" t="s">
        <v>101</v>
      </c>
      <c r="D259" s="13" t="s">
        <v>0</v>
      </c>
      <c r="E259" s="13" t="s">
        <v>235</v>
      </c>
      <c r="F259" s="14"/>
      <c r="G259" s="149">
        <f>G260</f>
        <v>14</v>
      </c>
    </row>
    <row r="260" spans="1:7" s="95" customFormat="1" ht="31.5" customHeight="1" x14ac:dyDescent="0.25">
      <c r="A260" s="29" t="s">
        <v>115</v>
      </c>
      <c r="B260" s="13" t="s">
        <v>4</v>
      </c>
      <c r="C260" s="13" t="s">
        <v>101</v>
      </c>
      <c r="D260" s="13" t="s">
        <v>0</v>
      </c>
      <c r="E260" s="13" t="s">
        <v>235</v>
      </c>
      <c r="F260" s="14" t="s">
        <v>20</v>
      </c>
      <c r="G260" s="149">
        <v>14</v>
      </c>
    </row>
    <row r="261" spans="1:7" s="95" customFormat="1" ht="22.5" customHeight="1" x14ac:dyDescent="0.25">
      <c r="A261" s="29" t="s">
        <v>283</v>
      </c>
      <c r="B261" s="13" t="s">
        <v>4</v>
      </c>
      <c r="C261" s="13" t="s">
        <v>101</v>
      </c>
      <c r="D261" s="13" t="s">
        <v>1</v>
      </c>
      <c r="E261" s="13"/>
      <c r="F261" s="14"/>
      <c r="G261" s="149">
        <f>G262</f>
        <v>48544.800000000003</v>
      </c>
    </row>
    <row r="262" spans="1:7" s="95" customFormat="1" ht="52.5" customHeight="1" x14ac:dyDescent="0.25">
      <c r="A262" s="29" t="s">
        <v>28</v>
      </c>
      <c r="B262" s="13" t="s">
        <v>4</v>
      </c>
      <c r="C262" s="13" t="s">
        <v>101</v>
      </c>
      <c r="D262" s="13" t="s">
        <v>1</v>
      </c>
      <c r="E262" s="13" t="s">
        <v>51</v>
      </c>
      <c r="F262" s="14"/>
      <c r="G262" s="149">
        <f>SUBTOTAL(9,G263:G265)</f>
        <v>48544.800000000003</v>
      </c>
    </row>
    <row r="263" spans="1:7" s="95" customFormat="1" ht="57" customHeight="1" x14ac:dyDescent="0.25">
      <c r="A263" s="29" t="s">
        <v>114</v>
      </c>
      <c r="B263" s="13" t="s">
        <v>4</v>
      </c>
      <c r="C263" s="13" t="s">
        <v>101</v>
      </c>
      <c r="D263" s="13" t="s">
        <v>1</v>
      </c>
      <c r="E263" s="13" t="s">
        <v>51</v>
      </c>
      <c r="F263" s="14" t="s">
        <v>19</v>
      </c>
      <c r="G263" s="149">
        <v>39833.300000000003</v>
      </c>
    </row>
    <row r="264" spans="1:7" s="95" customFormat="1" ht="35.25" customHeight="1" x14ac:dyDescent="0.25">
      <c r="A264" s="29" t="s">
        <v>115</v>
      </c>
      <c r="B264" s="13" t="s">
        <v>4</v>
      </c>
      <c r="C264" s="143" t="s">
        <v>101</v>
      </c>
      <c r="D264" s="143" t="s">
        <v>1</v>
      </c>
      <c r="E264" s="13" t="s">
        <v>51</v>
      </c>
      <c r="F264" s="14" t="s">
        <v>20</v>
      </c>
      <c r="G264" s="149">
        <f>6524.1+13.8+15.6-610.8+2.8</f>
        <v>5945.5000000000009</v>
      </c>
    </row>
    <row r="265" spans="1:7" s="95" customFormat="1" ht="18" customHeight="1" x14ac:dyDescent="0.25">
      <c r="A265" s="29" t="s">
        <v>21</v>
      </c>
      <c r="B265" s="13" t="s">
        <v>4</v>
      </c>
      <c r="C265" s="143" t="s">
        <v>101</v>
      </c>
      <c r="D265" s="143" t="s">
        <v>1</v>
      </c>
      <c r="E265" s="13" t="s">
        <v>51</v>
      </c>
      <c r="F265" s="14" t="s">
        <v>22</v>
      </c>
      <c r="G265" s="149">
        <f>62.6+610.8+2092.6</f>
        <v>2766</v>
      </c>
    </row>
    <row r="266" spans="1:7" s="95" customFormat="1" ht="18" customHeight="1" x14ac:dyDescent="0.25">
      <c r="A266" s="31" t="s">
        <v>375</v>
      </c>
      <c r="B266" s="13" t="s">
        <v>10</v>
      </c>
      <c r="C266" s="13"/>
      <c r="D266" s="13"/>
      <c r="E266" s="13"/>
      <c r="F266" s="13"/>
      <c r="G266" s="149">
        <f>SUM(G267+G294+G317+G324)</f>
        <v>508577.20000000007</v>
      </c>
    </row>
    <row r="267" spans="1:7" s="95" customFormat="1" ht="31.5" customHeight="1" x14ac:dyDescent="0.25">
      <c r="A267" s="36" t="s">
        <v>376</v>
      </c>
      <c r="B267" s="13" t="s">
        <v>10</v>
      </c>
      <c r="C267" s="13" t="s">
        <v>58</v>
      </c>
      <c r="D267" s="13"/>
      <c r="E267" s="13"/>
      <c r="F267" s="13"/>
      <c r="G267" s="149">
        <f>SUM(G268+G280+G288)</f>
        <v>133912.70000000001</v>
      </c>
    </row>
    <row r="268" spans="1:7" s="95" customFormat="1" ht="51.75" customHeight="1" x14ac:dyDescent="0.25">
      <c r="A268" s="31" t="s">
        <v>377</v>
      </c>
      <c r="B268" s="13" t="s">
        <v>10</v>
      </c>
      <c r="C268" s="13" t="s">
        <v>58</v>
      </c>
      <c r="D268" s="13" t="s">
        <v>0</v>
      </c>
      <c r="E268" s="13"/>
      <c r="F268" s="14"/>
      <c r="G268" s="149">
        <f>SUM(G271+G274+G269+G277)</f>
        <v>4182.5</v>
      </c>
    </row>
    <row r="269" spans="1:7" s="95" customFormat="1" ht="98.25" customHeight="1" x14ac:dyDescent="0.25">
      <c r="A269" s="118" t="s">
        <v>354</v>
      </c>
      <c r="B269" s="13" t="s">
        <v>10</v>
      </c>
      <c r="C269" s="13" t="s">
        <v>58</v>
      </c>
      <c r="D269" s="13" t="s">
        <v>0</v>
      </c>
      <c r="E269" s="13" t="s">
        <v>120</v>
      </c>
      <c r="F269" s="14"/>
      <c r="G269" s="149">
        <f>SUM(G270)</f>
        <v>252</v>
      </c>
    </row>
    <row r="270" spans="1:7" s="95" customFormat="1" ht="47.25" customHeight="1" x14ac:dyDescent="0.25">
      <c r="A270" s="29" t="s">
        <v>114</v>
      </c>
      <c r="B270" s="13" t="s">
        <v>10</v>
      </c>
      <c r="C270" s="13" t="s">
        <v>58</v>
      </c>
      <c r="D270" s="13" t="s">
        <v>0</v>
      </c>
      <c r="E270" s="13" t="s">
        <v>120</v>
      </c>
      <c r="F270" s="14" t="s">
        <v>19</v>
      </c>
      <c r="G270" s="149">
        <v>252</v>
      </c>
    </row>
    <row r="271" spans="1:7" s="95" customFormat="1" ht="38.25" customHeight="1" x14ac:dyDescent="0.25">
      <c r="A271" s="118" t="s">
        <v>651</v>
      </c>
      <c r="B271" s="13" t="s">
        <v>10</v>
      </c>
      <c r="C271" s="13" t="s">
        <v>58</v>
      </c>
      <c r="D271" s="13" t="s">
        <v>0</v>
      </c>
      <c r="E271" s="13" t="s">
        <v>172</v>
      </c>
      <c r="F271" s="14"/>
      <c r="G271" s="149">
        <f>SUM(G272:G273)</f>
        <v>1965.2</v>
      </c>
    </row>
    <row r="272" spans="1:7" s="95" customFormat="1" ht="50.25" customHeight="1" x14ac:dyDescent="0.25">
      <c r="A272" s="29" t="s">
        <v>114</v>
      </c>
      <c r="B272" s="13" t="s">
        <v>10</v>
      </c>
      <c r="C272" s="13" t="s">
        <v>58</v>
      </c>
      <c r="D272" s="13" t="s">
        <v>0</v>
      </c>
      <c r="E272" s="13" t="s">
        <v>172</v>
      </c>
      <c r="F272" s="14" t="s">
        <v>19</v>
      </c>
      <c r="G272" s="149">
        <v>1855.2</v>
      </c>
    </row>
    <row r="273" spans="1:7" s="95" customFormat="1" ht="31.5" customHeight="1" x14ac:dyDescent="0.25">
      <c r="A273" s="29" t="s">
        <v>115</v>
      </c>
      <c r="B273" s="13" t="s">
        <v>10</v>
      </c>
      <c r="C273" s="13" t="s">
        <v>58</v>
      </c>
      <c r="D273" s="13" t="s">
        <v>0</v>
      </c>
      <c r="E273" s="13" t="s">
        <v>172</v>
      </c>
      <c r="F273" s="14" t="s">
        <v>20</v>
      </c>
      <c r="G273" s="149">
        <v>110</v>
      </c>
    </row>
    <row r="274" spans="1:7" s="95" customFormat="1" ht="96" customHeight="1" x14ac:dyDescent="0.25">
      <c r="A274" s="123" t="s">
        <v>652</v>
      </c>
      <c r="B274" s="13" t="s">
        <v>10</v>
      </c>
      <c r="C274" s="13" t="s">
        <v>58</v>
      </c>
      <c r="D274" s="13" t="s">
        <v>0</v>
      </c>
      <c r="E274" s="13" t="s">
        <v>43</v>
      </c>
      <c r="F274" s="14"/>
      <c r="G274" s="149">
        <f>SUM(G275:G276)</f>
        <v>982.6</v>
      </c>
    </row>
    <row r="275" spans="1:7" s="95" customFormat="1" ht="46.5" customHeight="1" x14ac:dyDescent="0.25">
      <c r="A275" s="29" t="s">
        <v>114</v>
      </c>
      <c r="B275" s="13" t="s">
        <v>10</v>
      </c>
      <c r="C275" s="13" t="s">
        <v>58</v>
      </c>
      <c r="D275" s="13" t="s">
        <v>0</v>
      </c>
      <c r="E275" s="13" t="s">
        <v>43</v>
      </c>
      <c r="F275" s="14" t="s">
        <v>19</v>
      </c>
      <c r="G275" s="149">
        <v>912.6</v>
      </c>
    </row>
    <row r="276" spans="1:7" s="95" customFormat="1" ht="31.5" customHeight="1" x14ac:dyDescent="0.25">
      <c r="A276" s="29" t="s">
        <v>115</v>
      </c>
      <c r="B276" s="13" t="s">
        <v>10</v>
      </c>
      <c r="C276" s="13" t="s">
        <v>58</v>
      </c>
      <c r="D276" s="13" t="s">
        <v>0</v>
      </c>
      <c r="E276" s="13" t="s">
        <v>43</v>
      </c>
      <c r="F276" s="14" t="s">
        <v>20</v>
      </c>
      <c r="G276" s="149">
        <v>70</v>
      </c>
    </row>
    <row r="277" spans="1:7" s="95" customFormat="1" ht="116.25" customHeight="1" x14ac:dyDescent="0.25">
      <c r="A277" s="118" t="s">
        <v>668</v>
      </c>
      <c r="B277" s="13" t="s">
        <v>10</v>
      </c>
      <c r="C277" s="13" t="s">
        <v>58</v>
      </c>
      <c r="D277" s="13" t="s">
        <v>0</v>
      </c>
      <c r="E277" s="13" t="s">
        <v>580</v>
      </c>
      <c r="F277" s="14"/>
      <c r="G277" s="149">
        <f>G278+G279</f>
        <v>982.7</v>
      </c>
    </row>
    <row r="278" spans="1:7" s="95" customFormat="1" ht="47.25" customHeight="1" x14ac:dyDescent="0.25">
      <c r="A278" s="29" t="s">
        <v>114</v>
      </c>
      <c r="B278" s="13" t="s">
        <v>10</v>
      </c>
      <c r="C278" s="13" t="s">
        <v>58</v>
      </c>
      <c r="D278" s="13" t="s">
        <v>0</v>
      </c>
      <c r="E278" s="13" t="s">
        <v>580</v>
      </c>
      <c r="F278" s="14" t="s">
        <v>19</v>
      </c>
      <c r="G278" s="149">
        <v>912.7</v>
      </c>
    </row>
    <row r="279" spans="1:7" s="95" customFormat="1" ht="31.5" customHeight="1" x14ac:dyDescent="0.25">
      <c r="A279" s="29" t="s">
        <v>115</v>
      </c>
      <c r="B279" s="13" t="s">
        <v>10</v>
      </c>
      <c r="C279" s="13" t="s">
        <v>58</v>
      </c>
      <c r="D279" s="13" t="s">
        <v>0</v>
      </c>
      <c r="E279" s="13" t="s">
        <v>580</v>
      </c>
      <c r="F279" s="14" t="s">
        <v>20</v>
      </c>
      <c r="G279" s="149">
        <v>70</v>
      </c>
    </row>
    <row r="280" spans="1:7" s="95" customFormat="1" ht="18" customHeight="1" x14ac:dyDescent="0.25">
      <c r="A280" s="29" t="s">
        <v>151</v>
      </c>
      <c r="B280" s="13" t="s">
        <v>10</v>
      </c>
      <c r="C280" s="13" t="s">
        <v>58</v>
      </c>
      <c r="D280" s="13" t="s">
        <v>1</v>
      </c>
      <c r="E280" s="13"/>
      <c r="F280" s="14"/>
      <c r="G280" s="149">
        <f>SUM(G281+G284+G286)</f>
        <v>20954.5</v>
      </c>
    </row>
    <row r="281" spans="1:7" s="95" customFormat="1" ht="18" customHeight="1" x14ac:dyDescent="0.25">
      <c r="A281" s="29" t="s">
        <v>26</v>
      </c>
      <c r="B281" s="13" t="s">
        <v>10</v>
      </c>
      <c r="C281" s="13" t="s">
        <v>58</v>
      </c>
      <c r="D281" s="13" t="s">
        <v>1</v>
      </c>
      <c r="E281" s="13" t="s">
        <v>41</v>
      </c>
      <c r="F281" s="14"/>
      <c r="G281" s="149">
        <f>SUM(G282:G283)</f>
        <v>20664.7</v>
      </c>
    </row>
    <row r="282" spans="1:7" s="95" customFormat="1" ht="47.25" customHeight="1" x14ac:dyDescent="0.25">
      <c r="A282" s="29" t="s">
        <v>114</v>
      </c>
      <c r="B282" s="13" t="s">
        <v>10</v>
      </c>
      <c r="C282" s="13" t="s">
        <v>58</v>
      </c>
      <c r="D282" s="13" t="s">
        <v>1</v>
      </c>
      <c r="E282" s="13" t="s">
        <v>41</v>
      </c>
      <c r="F282" s="14" t="s">
        <v>19</v>
      </c>
      <c r="G282" s="149">
        <v>20196.900000000001</v>
      </c>
    </row>
    <row r="283" spans="1:7" s="95" customFormat="1" ht="31.5" customHeight="1" x14ac:dyDescent="0.25">
      <c r="A283" s="29" t="s">
        <v>115</v>
      </c>
      <c r="B283" s="13" t="s">
        <v>10</v>
      </c>
      <c r="C283" s="13" t="s">
        <v>58</v>
      </c>
      <c r="D283" s="13" t="s">
        <v>1</v>
      </c>
      <c r="E283" s="13" t="s">
        <v>41</v>
      </c>
      <c r="F283" s="14" t="s">
        <v>20</v>
      </c>
      <c r="G283" s="149">
        <f>464+3.8</f>
        <v>467.8</v>
      </c>
    </row>
    <row r="284" spans="1:7" s="95" customFormat="1" ht="18" customHeight="1" x14ac:dyDescent="0.25">
      <c r="A284" s="29" t="s">
        <v>228</v>
      </c>
      <c r="B284" s="13" t="s">
        <v>10</v>
      </c>
      <c r="C284" s="25">
        <v>1</v>
      </c>
      <c r="D284" s="13" t="s">
        <v>1</v>
      </c>
      <c r="E284" s="13" t="s">
        <v>229</v>
      </c>
      <c r="F284" s="13"/>
      <c r="G284" s="149">
        <f t="shared" ref="G284" si="0">SUM(G285)</f>
        <v>62</v>
      </c>
    </row>
    <row r="285" spans="1:7" s="95" customFormat="1" ht="31.5" customHeight="1" x14ac:dyDescent="0.25">
      <c r="A285" s="29" t="s">
        <v>115</v>
      </c>
      <c r="B285" s="13" t="s">
        <v>10</v>
      </c>
      <c r="C285" s="25">
        <v>1</v>
      </c>
      <c r="D285" s="13" t="s">
        <v>1</v>
      </c>
      <c r="E285" s="13" t="s">
        <v>229</v>
      </c>
      <c r="F285" s="13" t="s">
        <v>20</v>
      </c>
      <c r="G285" s="149">
        <v>62</v>
      </c>
    </row>
    <row r="286" spans="1:7" s="95" customFormat="1" ht="22.2" customHeight="1" x14ac:dyDescent="0.25">
      <c r="A286" s="148" t="s">
        <v>713</v>
      </c>
      <c r="B286" s="143" t="s">
        <v>10</v>
      </c>
      <c r="C286" s="144">
        <v>1</v>
      </c>
      <c r="D286" s="143" t="s">
        <v>1</v>
      </c>
      <c r="E286" s="143" t="s">
        <v>591</v>
      </c>
      <c r="F286" s="143"/>
      <c r="G286" s="149">
        <f>G287</f>
        <v>227.8</v>
      </c>
    </row>
    <row r="287" spans="1:7" s="95" customFormat="1" ht="31.5" customHeight="1" x14ac:dyDescent="0.25">
      <c r="A287" s="148" t="s">
        <v>115</v>
      </c>
      <c r="B287" s="143" t="s">
        <v>10</v>
      </c>
      <c r="C287" s="144">
        <v>1</v>
      </c>
      <c r="D287" s="143" t="s">
        <v>1</v>
      </c>
      <c r="E287" s="143" t="s">
        <v>591</v>
      </c>
      <c r="F287" s="143" t="s">
        <v>20</v>
      </c>
      <c r="G287" s="149">
        <v>227.8</v>
      </c>
    </row>
    <row r="288" spans="1:7" s="95" customFormat="1" ht="18" customHeight="1" x14ac:dyDescent="0.25">
      <c r="A288" s="29" t="s">
        <v>541</v>
      </c>
      <c r="B288" s="13" t="s">
        <v>10</v>
      </c>
      <c r="C288" s="13" t="s">
        <v>58</v>
      </c>
      <c r="D288" s="13" t="s">
        <v>2</v>
      </c>
      <c r="E288" s="13"/>
      <c r="F288" s="14"/>
      <c r="G288" s="149">
        <f>SUM(G289)</f>
        <v>108775.70000000001</v>
      </c>
    </row>
    <row r="289" spans="1:7" s="95" customFormat="1" ht="47.25" customHeight="1" x14ac:dyDescent="0.25">
      <c r="A289" s="31" t="s">
        <v>28</v>
      </c>
      <c r="B289" s="13" t="s">
        <v>10</v>
      </c>
      <c r="C289" s="13" t="s">
        <v>58</v>
      </c>
      <c r="D289" s="13" t="s">
        <v>2</v>
      </c>
      <c r="E289" s="13" t="s">
        <v>51</v>
      </c>
      <c r="F289" s="14"/>
      <c r="G289" s="149">
        <f>SUM(G290+G291+G292+G293)</f>
        <v>108775.70000000001</v>
      </c>
    </row>
    <row r="290" spans="1:7" s="95" customFormat="1" ht="47.25" customHeight="1" x14ac:dyDescent="0.25">
      <c r="A290" s="29" t="s">
        <v>114</v>
      </c>
      <c r="B290" s="13" t="s">
        <v>10</v>
      </c>
      <c r="C290" s="13" t="s">
        <v>58</v>
      </c>
      <c r="D290" s="13" t="s">
        <v>2</v>
      </c>
      <c r="E290" s="13" t="s">
        <v>51</v>
      </c>
      <c r="F290" s="14" t="s">
        <v>19</v>
      </c>
      <c r="G290" s="149">
        <f>22760.2+12045.1</f>
        <v>34805.300000000003</v>
      </c>
    </row>
    <row r="291" spans="1:7" s="95" customFormat="1" ht="31.5" customHeight="1" x14ac:dyDescent="0.25">
      <c r="A291" s="29" t="s">
        <v>115</v>
      </c>
      <c r="B291" s="13" t="s">
        <v>10</v>
      </c>
      <c r="C291" s="13" t="s">
        <v>58</v>
      </c>
      <c r="D291" s="13" t="s">
        <v>2</v>
      </c>
      <c r="E291" s="13" t="s">
        <v>51</v>
      </c>
      <c r="F291" s="14" t="s">
        <v>20</v>
      </c>
      <c r="G291" s="149">
        <f>3346.5+396.3</f>
        <v>3742.8</v>
      </c>
    </row>
    <row r="292" spans="1:7" s="95" customFormat="1" ht="31.5" customHeight="1" x14ac:dyDescent="0.25">
      <c r="A292" s="30" t="s">
        <v>116</v>
      </c>
      <c r="B292" s="13" t="s">
        <v>10</v>
      </c>
      <c r="C292" s="13" t="s">
        <v>58</v>
      </c>
      <c r="D292" s="13" t="s">
        <v>2</v>
      </c>
      <c r="E292" s="13" t="s">
        <v>51</v>
      </c>
      <c r="F292" s="14" t="s">
        <v>111</v>
      </c>
      <c r="G292" s="149">
        <f>82605-12441.4</f>
        <v>70163.600000000006</v>
      </c>
    </row>
    <row r="293" spans="1:7" s="95" customFormat="1" ht="18" customHeight="1" x14ac:dyDescent="0.25">
      <c r="A293" s="30" t="s">
        <v>21</v>
      </c>
      <c r="B293" s="13" t="s">
        <v>10</v>
      </c>
      <c r="C293" s="13" t="s">
        <v>58</v>
      </c>
      <c r="D293" s="13" t="s">
        <v>2</v>
      </c>
      <c r="E293" s="13" t="s">
        <v>51</v>
      </c>
      <c r="F293" s="14" t="s">
        <v>22</v>
      </c>
      <c r="G293" s="149">
        <v>64</v>
      </c>
    </row>
    <row r="294" spans="1:7" s="95" customFormat="1" ht="18" customHeight="1" x14ac:dyDescent="0.25">
      <c r="A294" s="30" t="s">
        <v>692</v>
      </c>
      <c r="B294" s="13" t="s">
        <v>10</v>
      </c>
      <c r="C294" s="13" t="s">
        <v>93</v>
      </c>
      <c r="D294" s="13"/>
      <c r="E294" s="13"/>
      <c r="F294" s="14"/>
      <c r="G294" s="149">
        <f>SUM(G295+G314)</f>
        <v>317909.10000000003</v>
      </c>
    </row>
    <row r="295" spans="1:7" s="95" customFormat="1" ht="31.5" customHeight="1" x14ac:dyDescent="0.25">
      <c r="A295" s="30" t="s">
        <v>538</v>
      </c>
      <c r="B295" s="13" t="s">
        <v>10</v>
      </c>
      <c r="C295" s="13" t="s">
        <v>93</v>
      </c>
      <c r="D295" s="13" t="s">
        <v>0</v>
      </c>
      <c r="E295" s="13"/>
      <c r="F295" s="14"/>
      <c r="G295" s="149">
        <f>SUM(G304+G307+G298+G300+G302+G296+G310+G312)</f>
        <v>188966.30000000002</v>
      </c>
    </row>
    <row r="296" spans="1:7" s="95" customFormat="1" ht="18" customHeight="1" x14ac:dyDescent="0.25">
      <c r="A296" s="30" t="s">
        <v>635</v>
      </c>
      <c r="B296" s="13" t="s">
        <v>10</v>
      </c>
      <c r="C296" s="13" t="s">
        <v>93</v>
      </c>
      <c r="D296" s="13" t="s">
        <v>0</v>
      </c>
      <c r="E296" s="13" t="s">
        <v>634</v>
      </c>
      <c r="F296" s="14"/>
      <c r="G296" s="149">
        <f>G297</f>
        <v>18652.7</v>
      </c>
    </row>
    <row r="297" spans="1:7" s="95" customFormat="1" ht="31.5" customHeight="1" x14ac:dyDescent="0.25">
      <c r="A297" s="29" t="s">
        <v>115</v>
      </c>
      <c r="B297" s="13" t="s">
        <v>10</v>
      </c>
      <c r="C297" s="13" t="s">
        <v>93</v>
      </c>
      <c r="D297" s="13" t="s">
        <v>0</v>
      </c>
      <c r="E297" s="13" t="s">
        <v>634</v>
      </c>
      <c r="F297" s="14" t="s">
        <v>20</v>
      </c>
      <c r="G297" s="149">
        <f>13550+2569.3+1231+891.2+411.2</f>
        <v>18652.7</v>
      </c>
    </row>
    <row r="298" spans="1:7" s="95" customFormat="1" ht="18" customHeight="1" x14ac:dyDescent="0.25">
      <c r="A298" s="30" t="s">
        <v>649</v>
      </c>
      <c r="B298" s="13" t="s">
        <v>10</v>
      </c>
      <c r="C298" s="13" t="s">
        <v>93</v>
      </c>
      <c r="D298" s="13" t="s">
        <v>0</v>
      </c>
      <c r="E298" s="13" t="s">
        <v>562</v>
      </c>
      <c r="F298" s="14"/>
      <c r="G298" s="149">
        <f>G299</f>
        <v>23796.1</v>
      </c>
    </row>
    <row r="299" spans="1:7" s="95" customFormat="1" ht="31.5" customHeight="1" x14ac:dyDescent="0.25">
      <c r="A299" s="29" t="s">
        <v>115</v>
      </c>
      <c r="B299" s="13" t="s">
        <v>10</v>
      </c>
      <c r="C299" s="13" t="s">
        <v>93</v>
      </c>
      <c r="D299" s="13" t="s">
        <v>0</v>
      </c>
      <c r="E299" s="13" t="s">
        <v>562</v>
      </c>
      <c r="F299" s="14" t="s">
        <v>20</v>
      </c>
      <c r="G299" s="149">
        <f>31747.5-13550+1102.5+3424.6+1071.5</f>
        <v>23796.1</v>
      </c>
    </row>
    <row r="300" spans="1:7" s="95" customFormat="1" ht="21.6" customHeight="1" x14ac:dyDescent="0.25">
      <c r="A300" s="30" t="s">
        <v>693</v>
      </c>
      <c r="B300" s="13" t="s">
        <v>10</v>
      </c>
      <c r="C300" s="13" t="s">
        <v>93</v>
      </c>
      <c r="D300" s="13" t="s">
        <v>0</v>
      </c>
      <c r="E300" s="13" t="s">
        <v>563</v>
      </c>
      <c r="F300" s="14"/>
      <c r="G300" s="149">
        <f>G301</f>
        <v>26004.1</v>
      </c>
    </row>
    <row r="301" spans="1:7" s="95" customFormat="1" ht="31.5" customHeight="1" x14ac:dyDescent="0.25">
      <c r="A301" s="29" t="s">
        <v>115</v>
      </c>
      <c r="B301" s="13" t="s">
        <v>10</v>
      </c>
      <c r="C301" s="13" t="s">
        <v>93</v>
      </c>
      <c r="D301" s="13" t="s">
        <v>0</v>
      </c>
      <c r="E301" s="13" t="s">
        <v>563</v>
      </c>
      <c r="F301" s="14" t="s">
        <v>20</v>
      </c>
      <c r="G301" s="149">
        <f>17750+4164+2000+2090.1</f>
        <v>26004.1</v>
      </c>
    </row>
    <row r="302" spans="1:7" s="95" customFormat="1" ht="18" customHeight="1" x14ac:dyDescent="0.25">
      <c r="A302" s="29" t="s">
        <v>568</v>
      </c>
      <c r="B302" s="13" t="s">
        <v>10</v>
      </c>
      <c r="C302" s="13" t="s">
        <v>93</v>
      </c>
      <c r="D302" s="13" t="s">
        <v>0</v>
      </c>
      <c r="E302" s="13" t="s">
        <v>567</v>
      </c>
      <c r="F302" s="14"/>
      <c r="G302" s="149">
        <f>G303</f>
        <v>18824.900000000001</v>
      </c>
    </row>
    <row r="303" spans="1:7" s="95" customFormat="1" ht="31.5" customHeight="1" x14ac:dyDescent="0.25">
      <c r="A303" s="29" t="s">
        <v>115</v>
      </c>
      <c r="B303" s="13" t="s">
        <v>10</v>
      </c>
      <c r="C303" s="13" t="s">
        <v>93</v>
      </c>
      <c r="D303" s="13" t="s">
        <v>0</v>
      </c>
      <c r="E303" s="13" t="s">
        <v>567</v>
      </c>
      <c r="F303" s="14" t="s">
        <v>20</v>
      </c>
      <c r="G303" s="149">
        <f>8850+2724.9+3750+3500</f>
        <v>18824.900000000001</v>
      </c>
    </row>
    <row r="304" spans="1:7" s="95" customFormat="1" ht="18" customHeight="1" x14ac:dyDescent="0.25">
      <c r="A304" s="30" t="s">
        <v>557</v>
      </c>
      <c r="B304" s="13" t="s">
        <v>10</v>
      </c>
      <c r="C304" s="13" t="s">
        <v>93</v>
      </c>
      <c r="D304" s="13" t="s">
        <v>0</v>
      </c>
      <c r="E304" s="13" t="s">
        <v>558</v>
      </c>
      <c r="F304" s="14"/>
      <c r="G304" s="149">
        <f>G305+G306</f>
        <v>65375.299999999996</v>
      </c>
    </row>
    <row r="305" spans="1:7" s="95" customFormat="1" ht="31.5" customHeight="1" x14ac:dyDescent="0.25">
      <c r="A305" s="29" t="s">
        <v>115</v>
      </c>
      <c r="B305" s="13" t="s">
        <v>10</v>
      </c>
      <c r="C305" s="13" t="s">
        <v>93</v>
      </c>
      <c r="D305" s="13" t="s">
        <v>0</v>
      </c>
      <c r="E305" s="13" t="s">
        <v>558</v>
      </c>
      <c r="F305" s="14" t="s">
        <v>20</v>
      </c>
      <c r="G305" s="149">
        <f>50048.6+4826.7+9000</f>
        <v>63875.299999999996</v>
      </c>
    </row>
    <row r="306" spans="1:7" s="95" customFormat="1" ht="22.5" customHeight="1" x14ac:dyDescent="0.25">
      <c r="A306" s="29" t="s">
        <v>118</v>
      </c>
      <c r="B306" s="13" t="s">
        <v>10</v>
      </c>
      <c r="C306" s="13" t="s">
        <v>93</v>
      </c>
      <c r="D306" s="13" t="s">
        <v>0</v>
      </c>
      <c r="E306" s="13" t="s">
        <v>558</v>
      </c>
      <c r="F306" s="14" t="s">
        <v>119</v>
      </c>
      <c r="G306" s="149">
        <v>1500</v>
      </c>
    </row>
    <row r="307" spans="1:7" s="95" customFormat="1" ht="18" customHeight="1" x14ac:dyDescent="0.25">
      <c r="A307" s="30" t="s">
        <v>694</v>
      </c>
      <c r="B307" s="13" t="s">
        <v>10</v>
      </c>
      <c r="C307" s="13" t="s">
        <v>93</v>
      </c>
      <c r="D307" s="13" t="s">
        <v>0</v>
      </c>
      <c r="E307" s="13" t="s">
        <v>510</v>
      </c>
      <c r="F307" s="14"/>
      <c r="G307" s="149">
        <f>SUM(G309+G308)</f>
        <v>35572.6</v>
      </c>
    </row>
    <row r="308" spans="1:7" s="95" customFormat="1" ht="30.75" customHeight="1" x14ac:dyDescent="0.25">
      <c r="A308" s="136" t="s">
        <v>115</v>
      </c>
      <c r="B308" s="134" t="s">
        <v>10</v>
      </c>
      <c r="C308" s="134" t="s">
        <v>93</v>
      </c>
      <c r="D308" s="134" t="s">
        <v>0</v>
      </c>
      <c r="E308" s="134" t="s">
        <v>510</v>
      </c>
      <c r="F308" s="135" t="s">
        <v>20</v>
      </c>
      <c r="G308" s="149">
        <v>4366.2</v>
      </c>
    </row>
    <row r="309" spans="1:7" s="95" customFormat="1" ht="18" customHeight="1" x14ac:dyDescent="0.25">
      <c r="A309" s="29" t="s">
        <v>21</v>
      </c>
      <c r="B309" s="13" t="s">
        <v>10</v>
      </c>
      <c r="C309" s="13" t="s">
        <v>93</v>
      </c>
      <c r="D309" s="13" t="s">
        <v>0</v>
      </c>
      <c r="E309" s="13" t="s">
        <v>510</v>
      </c>
      <c r="F309" s="14" t="s">
        <v>22</v>
      </c>
      <c r="G309" s="149">
        <v>31206.400000000001</v>
      </c>
    </row>
    <row r="310" spans="1:7" s="95" customFormat="1" ht="35.25" customHeight="1" x14ac:dyDescent="0.25">
      <c r="A310" s="139" t="s">
        <v>687</v>
      </c>
      <c r="B310" s="134" t="s">
        <v>10</v>
      </c>
      <c r="C310" s="134" t="s">
        <v>93</v>
      </c>
      <c r="D310" s="134" t="s">
        <v>0</v>
      </c>
      <c r="E310" s="134" t="s">
        <v>677</v>
      </c>
      <c r="F310" s="135"/>
      <c r="G310" s="149">
        <f>G311</f>
        <v>603.6</v>
      </c>
    </row>
    <row r="311" spans="1:7" s="95" customFormat="1" ht="33" customHeight="1" x14ac:dyDescent="0.25">
      <c r="A311" s="139" t="s">
        <v>115</v>
      </c>
      <c r="B311" s="134" t="s">
        <v>10</v>
      </c>
      <c r="C311" s="134" t="s">
        <v>93</v>
      </c>
      <c r="D311" s="134" t="s">
        <v>0</v>
      </c>
      <c r="E311" s="134" t="s">
        <v>677</v>
      </c>
      <c r="F311" s="135" t="s">
        <v>20</v>
      </c>
      <c r="G311" s="149">
        <v>603.6</v>
      </c>
    </row>
    <row r="312" spans="1:7" s="95" customFormat="1" ht="18" customHeight="1" x14ac:dyDescent="0.25">
      <c r="A312" s="139" t="s">
        <v>209</v>
      </c>
      <c r="B312" s="134" t="s">
        <v>10</v>
      </c>
      <c r="C312" s="134" t="s">
        <v>93</v>
      </c>
      <c r="D312" s="134" t="s">
        <v>0</v>
      </c>
      <c r="E312" s="134" t="s">
        <v>678</v>
      </c>
      <c r="F312" s="135"/>
      <c r="G312" s="149">
        <f>G313</f>
        <v>137</v>
      </c>
    </row>
    <row r="313" spans="1:7" s="95" customFormat="1" ht="18" customHeight="1" x14ac:dyDescent="0.25">
      <c r="A313" s="139" t="s">
        <v>115</v>
      </c>
      <c r="B313" s="134" t="s">
        <v>10</v>
      </c>
      <c r="C313" s="134" t="s">
        <v>93</v>
      </c>
      <c r="D313" s="134" t="s">
        <v>0</v>
      </c>
      <c r="E313" s="134" t="s">
        <v>678</v>
      </c>
      <c r="F313" s="135" t="s">
        <v>20</v>
      </c>
      <c r="G313" s="149">
        <v>137</v>
      </c>
    </row>
    <row r="314" spans="1:7" s="95" customFormat="1" ht="18" customHeight="1" x14ac:dyDescent="0.25">
      <c r="A314" s="29" t="s">
        <v>152</v>
      </c>
      <c r="B314" s="13" t="s">
        <v>10</v>
      </c>
      <c r="C314" s="13" t="s">
        <v>93</v>
      </c>
      <c r="D314" s="13" t="s">
        <v>1</v>
      </c>
      <c r="E314" s="13"/>
      <c r="F314" s="14"/>
      <c r="G314" s="149">
        <f>SUM(G316)</f>
        <v>128942.8</v>
      </c>
    </row>
    <row r="315" spans="1:7" s="95" customFormat="1" ht="47.25" customHeight="1" x14ac:dyDescent="0.25">
      <c r="A315" s="31" t="s">
        <v>28</v>
      </c>
      <c r="B315" s="13" t="s">
        <v>10</v>
      </c>
      <c r="C315" s="13" t="s">
        <v>93</v>
      </c>
      <c r="D315" s="13" t="s">
        <v>1</v>
      </c>
      <c r="E315" s="13" t="s">
        <v>51</v>
      </c>
      <c r="F315" s="14"/>
      <c r="G315" s="149">
        <f>SUM(G316)</f>
        <v>128942.8</v>
      </c>
    </row>
    <row r="316" spans="1:7" s="95" customFormat="1" ht="32.25" customHeight="1" x14ac:dyDescent="0.25">
      <c r="A316" s="30" t="s">
        <v>116</v>
      </c>
      <c r="B316" s="13" t="s">
        <v>10</v>
      </c>
      <c r="C316" s="13" t="s">
        <v>93</v>
      </c>
      <c r="D316" s="13" t="s">
        <v>1</v>
      </c>
      <c r="E316" s="13" t="s">
        <v>51</v>
      </c>
      <c r="F316" s="14" t="s">
        <v>111</v>
      </c>
      <c r="G316" s="149">
        <v>128942.8</v>
      </c>
    </row>
    <row r="317" spans="1:7" s="95" customFormat="1" ht="18" customHeight="1" x14ac:dyDescent="0.25">
      <c r="A317" s="30" t="s">
        <v>695</v>
      </c>
      <c r="B317" s="13" t="s">
        <v>10</v>
      </c>
      <c r="C317" s="13" t="s">
        <v>101</v>
      </c>
      <c r="D317" s="13"/>
      <c r="E317" s="13"/>
      <c r="F317" s="14"/>
      <c r="G317" s="149">
        <f>SUM(G318)</f>
        <v>48948</v>
      </c>
    </row>
    <row r="318" spans="1:7" s="95" customFormat="1" ht="18" customHeight="1" x14ac:dyDescent="0.25">
      <c r="A318" s="30" t="s">
        <v>512</v>
      </c>
      <c r="B318" s="13" t="s">
        <v>10</v>
      </c>
      <c r="C318" s="13" t="s">
        <v>101</v>
      </c>
      <c r="D318" s="13" t="s">
        <v>0</v>
      </c>
      <c r="E318" s="13"/>
      <c r="F318" s="14"/>
      <c r="G318" s="149">
        <f>SUM(G319+G321)</f>
        <v>48948</v>
      </c>
    </row>
    <row r="319" spans="1:7" s="95" customFormat="1" ht="18" customHeight="1" x14ac:dyDescent="0.25">
      <c r="A319" s="30" t="s">
        <v>696</v>
      </c>
      <c r="B319" s="13" t="s">
        <v>10</v>
      </c>
      <c r="C319" s="13" t="s">
        <v>101</v>
      </c>
      <c r="D319" s="13" t="s">
        <v>0</v>
      </c>
      <c r="E319" s="13" t="s">
        <v>71</v>
      </c>
      <c r="F319" s="14"/>
      <c r="G319" s="149">
        <f>G320</f>
        <v>10365</v>
      </c>
    </row>
    <row r="320" spans="1:7" s="95" customFormat="1" ht="31.5" customHeight="1" x14ac:dyDescent="0.25">
      <c r="A320" s="29" t="s">
        <v>115</v>
      </c>
      <c r="B320" s="13" t="s">
        <v>10</v>
      </c>
      <c r="C320" s="13" t="s">
        <v>101</v>
      </c>
      <c r="D320" s="13" t="s">
        <v>0</v>
      </c>
      <c r="E320" s="13" t="s">
        <v>71</v>
      </c>
      <c r="F320" s="14" t="s">
        <v>20</v>
      </c>
      <c r="G320" s="149">
        <f>525+9840</f>
        <v>10365</v>
      </c>
    </row>
    <row r="321" spans="1:7" s="95" customFormat="1" ht="15.6" customHeight="1" x14ac:dyDescent="0.25">
      <c r="A321" s="73" t="s">
        <v>598</v>
      </c>
      <c r="B321" s="13" t="s">
        <v>10</v>
      </c>
      <c r="C321" s="13" t="s">
        <v>101</v>
      </c>
      <c r="D321" s="13" t="s">
        <v>0</v>
      </c>
      <c r="E321" s="13" t="s">
        <v>597</v>
      </c>
      <c r="F321" s="14"/>
      <c r="G321" s="149">
        <f>G322+G323</f>
        <v>38583</v>
      </c>
    </row>
    <row r="322" spans="1:7" s="95" customFormat="1" ht="30.6" customHeight="1" x14ac:dyDescent="0.25">
      <c r="A322" s="118" t="s">
        <v>115</v>
      </c>
      <c r="B322" s="13" t="s">
        <v>10</v>
      </c>
      <c r="C322" s="13" t="s">
        <v>101</v>
      </c>
      <c r="D322" s="13" t="s">
        <v>0</v>
      </c>
      <c r="E322" s="13" t="s">
        <v>597</v>
      </c>
      <c r="F322" s="14" t="s">
        <v>20</v>
      </c>
      <c r="G322" s="149">
        <v>2000</v>
      </c>
    </row>
    <row r="323" spans="1:7" s="95" customFormat="1" ht="18" customHeight="1" x14ac:dyDescent="0.25">
      <c r="A323" s="118" t="s">
        <v>21</v>
      </c>
      <c r="B323" s="13" t="s">
        <v>10</v>
      </c>
      <c r="C323" s="13" t="s">
        <v>101</v>
      </c>
      <c r="D323" s="13" t="s">
        <v>0</v>
      </c>
      <c r="E323" s="13" t="s">
        <v>597</v>
      </c>
      <c r="F323" s="14" t="s">
        <v>22</v>
      </c>
      <c r="G323" s="149">
        <v>36583</v>
      </c>
    </row>
    <row r="324" spans="1:7" s="95" customFormat="1" ht="18" customHeight="1" x14ac:dyDescent="0.25">
      <c r="A324" s="29" t="s">
        <v>697</v>
      </c>
      <c r="B324" s="13" t="s">
        <v>10</v>
      </c>
      <c r="C324" s="13" t="s">
        <v>65</v>
      </c>
      <c r="D324" s="13"/>
      <c r="E324" s="13"/>
      <c r="F324" s="14"/>
      <c r="G324" s="149">
        <f>G325</f>
        <v>7807.4000000000015</v>
      </c>
    </row>
    <row r="325" spans="1:7" s="95" customFormat="1" ht="18" customHeight="1" x14ac:dyDescent="0.25">
      <c r="A325" s="29" t="s">
        <v>570</v>
      </c>
      <c r="B325" s="13" t="s">
        <v>10</v>
      </c>
      <c r="C325" s="13" t="s">
        <v>65</v>
      </c>
      <c r="D325" s="13" t="s">
        <v>0</v>
      </c>
      <c r="E325" s="13"/>
      <c r="F325" s="14"/>
      <c r="G325" s="149">
        <f>G326</f>
        <v>7807.4000000000015</v>
      </c>
    </row>
    <row r="326" spans="1:7" s="95" customFormat="1" ht="21.75" customHeight="1" x14ac:dyDescent="0.25">
      <c r="A326" s="29" t="s">
        <v>698</v>
      </c>
      <c r="B326" s="13" t="s">
        <v>10</v>
      </c>
      <c r="C326" s="13" t="s">
        <v>65</v>
      </c>
      <c r="D326" s="13" t="s">
        <v>0</v>
      </c>
      <c r="E326" s="13" t="s">
        <v>569</v>
      </c>
      <c r="F326" s="14"/>
      <c r="G326" s="149">
        <f>G327</f>
        <v>7807.4000000000015</v>
      </c>
    </row>
    <row r="327" spans="1:7" s="95" customFormat="1" ht="31.5" customHeight="1" x14ac:dyDescent="0.25">
      <c r="A327" s="29" t="s">
        <v>115</v>
      </c>
      <c r="B327" s="13" t="s">
        <v>10</v>
      </c>
      <c r="C327" s="13" t="s">
        <v>65</v>
      </c>
      <c r="D327" s="13" t="s">
        <v>0</v>
      </c>
      <c r="E327" s="13" t="s">
        <v>569</v>
      </c>
      <c r="F327" s="14" t="s">
        <v>20</v>
      </c>
      <c r="G327" s="149">
        <f>350.2+599+16698.2-9840</f>
        <v>7807.4000000000015</v>
      </c>
    </row>
    <row r="328" spans="1:7" s="95" customFormat="1" ht="31.5" customHeight="1" x14ac:dyDescent="0.25">
      <c r="A328" s="31" t="s">
        <v>379</v>
      </c>
      <c r="B328" s="13" t="s">
        <v>5</v>
      </c>
      <c r="C328" s="13"/>
      <c r="D328" s="13"/>
      <c r="E328" s="13"/>
      <c r="F328" s="14"/>
      <c r="G328" s="149">
        <f>SUM(G329)</f>
        <v>319223.2</v>
      </c>
    </row>
    <row r="329" spans="1:7" s="95" customFormat="1" ht="31.5" customHeight="1" x14ac:dyDescent="0.25">
      <c r="A329" s="31" t="s">
        <v>380</v>
      </c>
      <c r="B329" s="13" t="s">
        <v>5</v>
      </c>
      <c r="C329" s="13" t="s">
        <v>58</v>
      </c>
      <c r="D329" s="13"/>
      <c r="E329" s="13"/>
      <c r="F329" s="14"/>
      <c r="G329" s="149">
        <f>SUM(G330+G335)</f>
        <v>319223.2</v>
      </c>
    </row>
    <row r="330" spans="1:7" s="95" customFormat="1" ht="18" customHeight="1" x14ac:dyDescent="0.25">
      <c r="A330" s="31" t="s">
        <v>541</v>
      </c>
      <c r="B330" s="13" t="s">
        <v>5</v>
      </c>
      <c r="C330" s="13" t="s">
        <v>58</v>
      </c>
      <c r="D330" s="13" t="s">
        <v>0</v>
      </c>
      <c r="E330" s="13"/>
      <c r="F330" s="14"/>
      <c r="G330" s="149">
        <f>SUM(G331)</f>
        <v>285767.40000000002</v>
      </c>
    </row>
    <row r="331" spans="1:7" s="95" customFormat="1" ht="47.25" customHeight="1" x14ac:dyDescent="0.25">
      <c r="A331" s="31" t="s">
        <v>106</v>
      </c>
      <c r="B331" s="13" t="s">
        <v>5</v>
      </c>
      <c r="C331" s="13" t="s">
        <v>58</v>
      </c>
      <c r="D331" s="13" t="s">
        <v>0</v>
      </c>
      <c r="E331" s="13" t="s">
        <v>51</v>
      </c>
      <c r="F331" s="14"/>
      <c r="G331" s="149">
        <f>SUM(G332:G334)</f>
        <v>285767.40000000002</v>
      </c>
    </row>
    <row r="332" spans="1:7" s="95" customFormat="1" ht="51.75" customHeight="1" x14ac:dyDescent="0.25">
      <c r="A332" s="29" t="s">
        <v>114</v>
      </c>
      <c r="B332" s="13" t="s">
        <v>5</v>
      </c>
      <c r="C332" s="13" t="s">
        <v>58</v>
      </c>
      <c r="D332" s="13" t="s">
        <v>0</v>
      </c>
      <c r="E332" s="13" t="s">
        <v>51</v>
      </c>
      <c r="F332" s="14" t="s">
        <v>19</v>
      </c>
      <c r="G332" s="149">
        <f>178390.2+114.9+123.3</f>
        <v>178628.4</v>
      </c>
    </row>
    <row r="333" spans="1:7" s="95" customFormat="1" ht="31.5" customHeight="1" x14ac:dyDescent="0.25">
      <c r="A333" s="29" t="s">
        <v>115</v>
      </c>
      <c r="B333" s="13" t="s">
        <v>5</v>
      </c>
      <c r="C333" s="13" t="s">
        <v>58</v>
      </c>
      <c r="D333" s="13" t="s">
        <v>0</v>
      </c>
      <c r="E333" s="13" t="s">
        <v>51</v>
      </c>
      <c r="F333" s="14" t="s">
        <v>20</v>
      </c>
      <c r="G333" s="149">
        <f>104024.5-114.9+2851-436.6+461.1</f>
        <v>106785.1</v>
      </c>
    </row>
    <row r="334" spans="1:7" s="95" customFormat="1" ht="18" customHeight="1" x14ac:dyDescent="0.25">
      <c r="A334" s="29" t="s">
        <v>117</v>
      </c>
      <c r="B334" s="13" t="s">
        <v>5</v>
      </c>
      <c r="C334" s="13" t="s">
        <v>58</v>
      </c>
      <c r="D334" s="13" t="s">
        <v>0</v>
      </c>
      <c r="E334" s="13" t="s">
        <v>51</v>
      </c>
      <c r="F334" s="14" t="s">
        <v>109</v>
      </c>
      <c r="G334" s="149">
        <v>353.9</v>
      </c>
    </row>
    <row r="335" spans="1:7" s="95" customFormat="1" ht="31.5" customHeight="1" x14ac:dyDescent="0.25">
      <c r="A335" s="29" t="s">
        <v>59</v>
      </c>
      <c r="B335" s="13" t="s">
        <v>5</v>
      </c>
      <c r="C335" s="13" t="s">
        <v>58</v>
      </c>
      <c r="D335" s="13" t="s">
        <v>1</v>
      </c>
      <c r="E335" s="13"/>
      <c r="F335" s="14"/>
      <c r="G335" s="149">
        <f>SUM(G342+G338+G344+G340+G336+G346)</f>
        <v>33455.799999999988</v>
      </c>
    </row>
    <row r="336" spans="1:7" s="95" customFormat="1" ht="18" customHeight="1" x14ac:dyDescent="0.25">
      <c r="A336" s="29" t="s">
        <v>565</v>
      </c>
      <c r="B336" s="13" t="s">
        <v>5</v>
      </c>
      <c r="C336" s="25">
        <v>1</v>
      </c>
      <c r="D336" s="13" t="s">
        <v>1</v>
      </c>
      <c r="E336" s="13" t="s">
        <v>566</v>
      </c>
      <c r="F336" s="14"/>
      <c r="G336" s="149">
        <f>G337</f>
        <v>1119</v>
      </c>
    </row>
    <row r="337" spans="1:9" s="95" customFormat="1" ht="18" customHeight="1" x14ac:dyDescent="0.25">
      <c r="A337" s="29" t="s">
        <v>21</v>
      </c>
      <c r="B337" s="13" t="s">
        <v>5</v>
      </c>
      <c r="C337" s="25">
        <v>1</v>
      </c>
      <c r="D337" s="13" t="s">
        <v>1</v>
      </c>
      <c r="E337" s="13" t="s">
        <v>566</v>
      </c>
      <c r="F337" s="14" t="s">
        <v>22</v>
      </c>
      <c r="G337" s="149">
        <v>1119</v>
      </c>
    </row>
    <row r="338" spans="1:9" s="95" customFormat="1" ht="18" customHeight="1" x14ac:dyDescent="0.25">
      <c r="A338" s="29" t="s">
        <v>228</v>
      </c>
      <c r="B338" s="13" t="s">
        <v>5</v>
      </c>
      <c r="C338" s="25">
        <v>1</v>
      </c>
      <c r="D338" s="13" t="s">
        <v>1</v>
      </c>
      <c r="E338" s="13" t="s">
        <v>229</v>
      </c>
      <c r="F338" s="14"/>
      <c r="G338" s="149">
        <f>SUM(G339)</f>
        <v>868</v>
      </c>
    </row>
    <row r="339" spans="1:9" s="95" customFormat="1" ht="31.5" customHeight="1" x14ac:dyDescent="0.25">
      <c r="A339" s="29" t="s">
        <v>115</v>
      </c>
      <c r="B339" s="13" t="s">
        <v>5</v>
      </c>
      <c r="C339" s="25">
        <v>1</v>
      </c>
      <c r="D339" s="13" t="s">
        <v>1</v>
      </c>
      <c r="E339" s="13" t="s">
        <v>229</v>
      </c>
      <c r="F339" s="14" t="s">
        <v>20</v>
      </c>
      <c r="G339" s="149">
        <f>543.9+286+38.1</f>
        <v>868</v>
      </c>
    </row>
    <row r="340" spans="1:9" s="95" customFormat="1" ht="18" customHeight="1" x14ac:dyDescent="0.25">
      <c r="A340" s="29" t="s">
        <v>234</v>
      </c>
      <c r="B340" s="13" t="s">
        <v>5</v>
      </c>
      <c r="C340" s="25">
        <v>1</v>
      </c>
      <c r="D340" s="13" t="s">
        <v>1</v>
      </c>
      <c r="E340" s="13" t="s">
        <v>235</v>
      </c>
      <c r="F340" s="14"/>
      <c r="G340" s="149">
        <f>SUM(G341:G341)</f>
        <v>583.79999999999995</v>
      </c>
    </row>
    <row r="341" spans="1:9" s="95" customFormat="1" ht="22.5" customHeight="1" x14ac:dyDescent="0.25">
      <c r="A341" s="29" t="s">
        <v>115</v>
      </c>
      <c r="B341" s="13" t="s">
        <v>5</v>
      </c>
      <c r="C341" s="25">
        <v>1</v>
      </c>
      <c r="D341" s="13" t="s">
        <v>1</v>
      </c>
      <c r="E341" s="13" t="s">
        <v>235</v>
      </c>
      <c r="F341" s="14" t="s">
        <v>20</v>
      </c>
      <c r="G341" s="149">
        <f>439+83.3+355.5-294</f>
        <v>583.79999999999995</v>
      </c>
    </row>
    <row r="342" spans="1:9" s="95" customFormat="1" ht="31.5" customHeight="1" x14ac:dyDescent="0.25">
      <c r="A342" s="106" t="s">
        <v>232</v>
      </c>
      <c r="B342" s="13" t="s">
        <v>5</v>
      </c>
      <c r="C342" s="13" t="s">
        <v>58</v>
      </c>
      <c r="D342" s="13" t="s">
        <v>1</v>
      </c>
      <c r="E342" s="13" t="s">
        <v>233</v>
      </c>
      <c r="F342" s="14"/>
      <c r="G342" s="149">
        <f>SUM(G343:G343)</f>
        <v>25730.599999999995</v>
      </c>
    </row>
    <row r="343" spans="1:9" s="95" customFormat="1" ht="31.5" customHeight="1" x14ac:dyDescent="0.25">
      <c r="A343" s="29" t="s">
        <v>115</v>
      </c>
      <c r="B343" s="13" t="s">
        <v>5</v>
      </c>
      <c r="C343" s="13" t="s">
        <v>58</v>
      </c>
      <c r="D343" s="13" t="s">
        <v>1</v>
      </c>
      <c r="E343" s="13" t="s">
        <v>233</v>
      </c>
      <c r="F343" s="14" t="s">
        <v>20</v>
      </c>
      <c r="G343" s="149">
        <f>19405.6+5138.8+1520.6-640.7+306.3</f>
        <v>25730.599999999995</v>
      </c>
      <c r="I343" s="99"/>
    </row>
    <row r="344" spans="1:9" s="95" customFormat="1" ht="31.5" customHeight="1" x14ac:dyDescent="0.25">
      <c r="A344" s="29" t="s">
        <v>230</v>
      </c>
      <c r="B344" s="13" t="s">
        <v>5</v>
      </c>
      <c r="C344" s="25">
        <v>1</v>
      </c>
      <c r="D344" s="13" t="s">
        <v>1</v>
      </c>
      <c r="E344" s="13" t="s">
        <v>231</v>
      </c>
      <c r="F344" s="13"/>
      <c r="G344" s="149">
        <f>SUM(G345)</f>
        <v>4860.3999999999996</v>
      </c>
    </row>
    <row r="345" spans="1:9" s="95" customFormat="1" ht="21" customHeight="1" x14ac:dyDescent="0.25">
      <c r="A345" s="29" t="s">
        <v>115</v>
      </c>
      <c r="B345" s="13" t="s">
        <v>5</v>
      </c>
      <c r="C345" s="25">
        <v>1</v>
      </c>
      <c r="D345" s="13" t="s">
        <v>1</v>
      </c>
      <c r="E345" s="13" t="s">
        <v>231</v>
      </c>
      <c r="F345" s="13" t="s">
        <v>20</v>
      </c>
      <c r="G345" s="149">
        <f>3454.6+477.7+640.7+593.7-306.3</f>
        <v>4860.3999999999996</v>
      </c>
    </row>
    <row r="346" spans="1:9" s="95" customFormat="1" ht="18" customHeight="1" x14ac:dyDescent="0.25">
      <c r="A346" s="73" t="s">
        <v>592</v>
      </c>
      <c r="B346" s="46" t="s">
        <v>5</v>
      </c>
      <c r="C346" s="46" t="s">
        <v>58</v>
      </c>
      <c r="D346" s="46" t="s">
        <v>1</v>
      </c>
      <c r="E346" s="46" t="s">
        <v>591</v>
      </c>
      <c r="F346" s="72"/>
      <c r="G346" s="149">
        <f>G347</f>
        <v>294</v>
      </c>
    </row>
    <row r="347" spans="1:9" s="95" customFormat="1" ht="49.2" customHeight="1" x14ac:dyDescent="0.25">
      <c r="A347" s="73" t="s">
        <v>114</v>
      </c>
      <c r="B347" s="46" t="s">
        <v>5</v>
      </c>
      <c r="C347" s="46" t="s">
        <v>58</v>
      </c>
      <c r="D347" s="46" t="s">
        <v>1</v>
      </c>
      <c r="E347" s="46" t="s">
        <v>591</v>
      </c>
      <c r="F347" s="72" t="s">
        <v>19</v>
      </c>
      <c r="G347" s="149">
        <v>294</v>
      </c>
    </row>
    <row r="348" spans="1:9" s="95" customFormat="1" ht="18" customHeight="1" x14ac:dyDescent="0.25">
      <c r="A348" s="31" t="s">
        <v>382</v>
      </c>
      <c r="B348" s="13" t="s">
        <v>7</v>
      </c>
      <c r="C348" s="13"/>
      <c r="D348" s="13"/>
      <c r="E348" s="13"/>
      <c r="F348" s="14"/>
      <c r="G348" s="149">
        <f>SUM(G349)</f>
        <v>46626.6</v>
      </c>
    </row>
    <row r="349" spans="1:9" s="95" customFormat="1" ht="18" customHeight="1" x14ac:dyDescent="0.25">
      <c r="A349" s="31" t="s">
        <v>383</v>
      </c>
      <c r="B349" s="13" t="s">
        <v>7</v>
      </c>
      <c r="C349" s="13" t="s">
        <v>58</v>
      </c>
      <c r="D349" s="13"/>
      <c r="E349" s="13"/>
      <c r="F349" s="14"/>
      <c r="G349" s="149">
        <f>SUM(G350+G360+G365)</f>
        <v>46626.6</v>
      </c>
    </row>
    <row r="350" spans="1:9" s="95" customFormat="1" ht="46.5" customHeight="1" x14ac:dyDescent="0.25">
      <c r="A350" s="31" t="s">
        <v>450</v>
      </c>
      <c r="B350" s="13" t="s">
        <v>7</v>
      </c>
      <c r="C350" s="13" t="s">
        <v>58</v>
      </c>
      <c r="D350" s="13" t="s">
        <v>0</v>
      </c>
      <c r="E350" s="13"/>
      <c r="F350" s="14"/>
      <c r="G350" s="149">
        <f>SUM(G351+G356+G354+G358)</f>
        <v>5971.0999999999995</v>
      </c>
    </row>
    <row r="351" spans="1:9" s="95" customFormat="1" ht="18" customHeight="1" x14ac:dyDescent="0.25">
      <c r="A351" s="31" t="s">
        <v>26</v>
      </c>
      <c r="B351" s="13" t="s">
        <v>7</v>
      </c>
      <c r="C351" s="13" t="s">
        <v>58</v>
      </c>
      <c r="D351" s="13" t="s">
        <v>0</v>
      </c>
      <c r="E351" s="13" t="s">
        <v>41</v>
      </c>
      <c r="F351" s="14"/>
      <c r="G351" s="149">
        <f>SUM(G352:G353)</f>
        <v>5926.7</v>
      </c>
    </row>
    <row r="352" spans="1:9" s="95" customFormat="1" ht="47.25" customHeight="1" x14ac:dyDescent="0.25">
      <c r="A352" s="29" t="s">
        <v>114</v>
      </c>
      <c r="B352" s="13" t="s">
        <v>7</v>
      </c>
      <c r="C352" s="13" t="s">
        <v>58</v>
      </c>
      <c r="D352" s="13" t="s">
        <v>0</v>
      </c>
      <c r="E352" s="13" t="s">
        <v>41</v>
      </c>
      <c r="F352" s="14" t="s">
        <v>19</v>
      </c>
      <c r="G352" s="149">
        <v>5851.5</v>
      </c>
    </row>
    <row r="353" spans="1:7" s="95" customFormat="1" ht="35.25" customHeight="1" x14ac:dyDescent="0.25">
      <c r="A353" s="29" t="s">
        <v>115</v>
      </c>
      <c r="B353" s="13" t="s">
        <v>7</v>
      </c>
      <c r="C353" s="13" t="s">
        <v>58</v>
      </c>
      <c r="D353" s="13" t="s">
        <v>0</v>
      </c>
      <c r="E353" s="13" t="s">
        <v>41</v>
      </c>
      <c r="F353" s="14" t="s">
        <v>20</v>
      </c>
      <c r="G353" s="149">
        <f>74.9+0.3</f>
        <v>75.2</v>
      </c>
    </row>
    <row r="354" spans="1:7" s="95" customFormat="1" ht="18" customHeight="1" x14ac:dyDescent="0.25">
      <c r="A354" s="29" t="s">
        <v>228</v>
      </c>
      <c r="B354" s="13" t="s">
        <v>7</v>
      </c>
      <c r="C354" s="25">
        <v>1</v>
      </c>
      <c r="D354" s="13" t="s">
        <v>0</v>
      </c>
      <c r="E354" s="13" t="s">
        <v>229</v>
      </c>
      <c r="F354" s="13"/>
      <c r="G354" s="63">
        <f>SUM(G355)</f>
        <v>12</v>
      </c>
    </row>
    <row r="355" spans="1:7" s="95" customFormat="1" ht="31.5" customHeight="1" x14ac:dyDescent="0.25">
      <c r="A355" s="29" t="s">
        <v>115</v>
      </c>
      <c r="B355" s="13" t="s">
        <v>7</v>
      </c>
      <c r="C355" s="25">
        <v>1</v>
      </c>
      <c r="D355" s="13" t="s">
        <v>0</v>
      </c>
      <c r="E355" s="13" t="s">
        <v>229</v>
      </c>
      <c r="F355" s="13" t="s">
        <v>20</v>
      </c>
      <c r="G355" s="63">
        <v>12</v>
      </c>
    </row>
    <row r="356" spans="1:7" s="95" customFormat="1" ht="18" customHeight="1" x14ac:dyDescent="0.25">
      <c r="A356" s="29" t="s">
        <v>234</v>
      </c>
      <c r="B356" s="13" t="s">
        <v>7</v>
      </c>
      <c r="C356" s="13" t="s">
        <v>58</v>
      </c>
      <c r="D356" s="13" t="s">
        <v>0</v>
      </c>
      <c r="E356" s="13" t="s">
        <v>235</v>
      </c>
      <c r="F356" s="14"/>
      <c r="G356" s="149">
        <f>SUM(G357)</f>
        <v>12.4</v>
      </c>
    </row>
    <row r="357" spans="1:7" s="95" customFormat="1" ht="31.5" customHeight="1" x14ac:dyDescent="0.25">
      <c r="A357" s="29" t="s">
        <v>115</v>
      </c>
      <c r="B357" s="13" t="s">
        <v>7</v>
      </c>
      <c r="C357" s="13" t="s">
        <v>58</v>
      </c>
      <c r="D357" s="13" t="s">
        <v>0</v>
      </c>
      <c r="E357" s="13" t="s">
        <v>235</v>
      </c>
      <c r="F357" s="14" t="s">
        <v>20</v>
      </c>
      <c r="G357" s="149">
        <v>12.4</v>
      </c>
    </row>
    <row r="358" spans="1:7" s="95" customFormat="1" ht="31.5" customHeight="1" x14ac:dyDescent="0.25">
      <c r="A358" s="29" t="s">
        <v>230</v>
      </c>
      <c r="B358" s="13" t="s">
        <v>7</v>
      </c>
      <c r="C358" s="25">
        <v>1</v>
      </c>
      <c r="D358" s="13" t="s">
        <v>0</v>
      </c>
      <c r="E358" s="13" t="s">
        <v>231</v>
      </c>
      <c r="F358" s="13"/>
      <c r="G358" s="132">
        <f>G359</f>
        <v>20</v>
      </c>
    </row>
    <row r="359" spans="1:7" s="95" customFormat="1" ht="31.5" customHeight="1" x14ac:dyDescent="0.25">
      <c r="A359" s="73" t="s">
        <v>115</v>
      </c>
      <c r="B359" s="13" t="s">
        <v>7</v>
      </c>
      <c r="C359" s="25">
        <v>1</v>
      </c>
      <c r="D359" s="13" t="s">
        <v>0</v>
      </c>
      <c r="E359" s="13" t="s">
        <v>231</v>
      </c>
      <c r="F359" s="13" t="s">
        <v>20</v>
      </c>
      <c r="G359" s="132">
        <v>20</v>
      </c>
    </row>
    <row r="360" spans="1:7" s="95" customFormat="1" ht="31.5" customHeight="1" x14ac:dyDescent="0.25">
      <c r="A360" s="31" t="s">
        <v>432</v>
      </c>
      <c r="B360" s="13" t="s">
        <v>7</v>
      </c>
      <c r="C360" s="13" t="s">
        <v>58</v>
      </c>
      <c r="D360" s="13" t="s">
        <v>1</v>
      </c>
      <c r="E360" s="13"/>
      <c r="F360" s="14"/>
      <c r="G360" s="149">
        <f>SUM(G361)</f>
        <v>35606.5</v>
      </c>
    </row>
    <row r="361" spans="1:7" s="95" customFormat="1" ht="47.25" customHeight="1" x14ac:dyDescent="0.25">
      <c r="A361" s="31" t="s">
        <v>28</v>
      </c>
      <c r="B361" s="13" t="s">
        <v>7</v>
      </c>
      <c r="C361" s="13" t="s">
        <v>58</v>
      </c>
      <c r="D361" s="13" t="s">
        <v>1</v>
      </c>
      <c r="E361" s="13" t="s">
        <v>51</v>
      </c>
      <c r="F361" s="14"/>
      <c r="G361" s="149">
        <f>SUM(G362:G364)</f>
        <v>35606.5</v>
      </c>
    </row>
    <row r="362" spans="1:7" s="95" customFormat="1" ht="47.25" customHeight="1" x14ac:dyDescent="0.25">
      <c r="A362" s="29" t="s">
        <v>114</v>
      </c>
      <c r="B362" s="13" t="s">
        <v>7</v>
      </c>
      <c r="C362" s="13" t="s">
        <v>58</v>
      </c>
      <c r="D362" s="13" t="s">
        <v>1</v>
      </c>
      <c r="E362" s="13" t="s">
        <v>51</v>
      </c>
      <c r="F362" s="14" t="s">
        <v>19</v>
      </c>
      <c r="G362" s="149">
        <v>33551.9</v>
      </c>
    </row>
    <row r="363" spans="1:7" s="95" customFormat="1" ht="31.5" customHeight="1" x14ac:dyDescent="0.25">
      <c r="A363" s="29" t="s">
        <v>115</v>
      </c>
      <c r="B363" s="13" t="s">
        <v>7</v>
      </c>
      <c r="C363" s="13" t="s">
        <v>58</v>
      </c>
      <c r="D363" s="13" t="s">
        <v>1</v>
      </c>
      <c r="E363" s="13" t="s">
        <v>51</v>
      </c>
      <c r="F363" s="14" t="s">
        <v>20</v>
      </c>
      <c r="G363" s="149">
        <f>1444.1+99.4+454.2</f>
        <v>1997.7</v>
      </c>
    </row>
    <row r="364" spans="1:7" s="95" customFormat="1" ht="18" customHeight="1" x14ac:dyDescent="0.25">
      <c r="A364" s="29" t="s">
        <v>21</v>
      </c>
      <c r="B364" s="13" t="s">
        <v>7</v>
      </c>
      <c r="C364" s="13" t="s">
        <v>58</v>
      </c>
      <c r="D364" s="13" t="s">
        <v>1</v>
      </c>
      <c r="E364" s="13" t="s">
        <v>51</v>
      </c>
      <c r="F364" s="14" t="s">
        <v>22</v>
      </c>
      <c r="G364" s="149">
        <v>56.9</v>
      </c>
    </row>
    <row r="365" spans="1:7" s="95" customFormat="1" ht="33.75" customHeight="1" x14ac:dyDescent="0.25">
      <c r="A365" s="29" t="s">
        <v>433</v>
      </c>
      <c r="B365" s="13" t="s">
        <v>7</v>
      </c>
      <c r="C365" s="13" t="s">
        <v>58</v>
      </c>
      <c r="D365" s="13" t="s">
        <v>2</v>
      </c>
      <c r="E365" s="13"/>
      <c r="F365" s="14"/>
      <c r="G365" s="149">
        <f>G368+G366</f>
        <v>5049</v>
      </c>
    </row>
    <row r="366" spans="1:7" s="95" customFormat="1" ht="20.25" customHeight="1" x14ac:dyDescent="0.25">
      <c r="A366" s="29" t="s">
        <v>637</v>
      </c>
      <c r="B366" s="13" t="s">
        <v>7</v>
      </c>
      <c r="C366" s="13" t="s">
        <v>58</v>
      </c>
      <c r="D366" s="13" t="s">
        <v>2</v>
      </c>
      <c r="E366" s="13" t="s">
        <v>636</v>
      </c>
      <c r="F366" s="14"/>
      <c r="G366" s="149">
        <f>G367</f>
        <v>893.8</v>
      </c>
    </row>
    <row r="367" spans="1:7" s="95" customFormat="1" ht="47.25" customHeight="1" x14ac:dyDescent="0.25">
      <c r="A367" s="29" t="s">
        <v>114</v>
      </c>
      <c r="B367" s="13" t="s">
        <v>7</v>
      </c>
      <c r="C367" s="13" t="s">
        <v>58</v>
      </c>
      <c r="D367" s="13" t="s">
        <v>2</v>
      </c>
      <c r="E367" s="13" t="s">
        <v>636</v>
      </c>
      <c r="F367" s="14" t="s">
        <v>19</v>
      </c>
      <c r="G367" s="149">
        <v>893.8</v>
      </c>
    </row>
    <row r="368" spans="1:7" s="95" customFormat="1" ht="18" customHeight="1" x14ac:dyDescent="0.25">
      <c r="A368" s="29" t="s">
        <v>384</v>
      </c>
      <c r="B368" s="13" t="s">
        <v>7</v>
      </c>
      <c r="C368" s="13" t="s">
        <v>58</v>
      </c>
      <c r="D368" s="13" t="s">
        <v>2</v>
      </c>
      <c r="E368" s="13" t="s">
        <v>197</v>
      </c>
      <c r="F368" s="14"/>
      <c r="G368" s="149">
        <f>G369</f>
        <v>4155.2</v>
      </c>
    </row>
    <row r="369" spans="1:7" s="95" customFormat="1" ht="31.5" customHeight="1" x14ac:dyDescent="0.25">
      <c r="A369" s="29" t="s">
        <v>115</v>
      </c>
      <c r="B369" s="13" t="s">
        <v>7</v>
      </c>
      <c r="C369" s="13" t="s">
        <v>58</v>
      </c>
      <c r="D369" s="13" t="s">
        <v>2</v>
      </c>
      <c r="E369" s="13" t="s">
        <v>197</v>
      </c>
      <c r="F369" s="14" t="s">
        <v>20</v>
      </c>
      <c r="G369" s="149">
        <v>4155.2</v>
      </c>
    </row>
    <row r="370" spans="1:7" s="95" customFormat="1" ht="18" customHeight="1" x14ac:dyDescent="0.25">
      <c r="A370" s="76" t="s">
        <v>607</v>
      </c>
      <c r="B370" s="46" t="s">
        <v>480</v>
      </c>
      <c r="C370" s="79"/>
      <c r="D370" s="46"/>
      <c r="E370" s="46"/>
      <c r="F370" s="46"/>
      <c r="G370" s="149">
        <f>G371</f>
        <v>2995</v>
      </c>
    </row>
    <row r="371" spans="1:7" s="95" customFormat="1" ht="18" customHeight="1" x14ac:dyDescent="0.25">
      <c r="A371" s="76" t="s">
        <v>608</v>
      </c>
      <c r="B371" s="46" t="s">
        <v>480</v>
      </c>
      <c r="C371" s="79">
        <v>1</v>
      </c>
      <c r="D371" s="46"/>
      <c r="E371" s="46"/>
      <c r="F371" s="46"/>
      <c r="G371" s="149">
        <f>G372</f>
        <v>2995</v>
      </c>
    </row>
    <row r="372" spans="1:7" s="95" customFormat="1" ht="31.5" customHeight="1" x14ac:dyDescent="0.25">
      <c r="A372" s="76" t="s">
        <v>438</v>
      </c>
      <c r="B372" s="46" t="s">
        <v>480</v>
      </c>
      <c r="C372" s="46" t="s">
        <v>58</v>
      </c>
      <c r="D372" s="46" t="s">
        <v>0</v>
      </c>
      <c r="E372" s="46"/>
      <c r="F372" s="72"/>
      <c r="G372" s="149">
        <f>G373+G375</f>
        <v>2995</v>
      </c>
    </row>
    <row r="373" spans="1:7" s="95" customFormat="1" ht="18" customHeight="1" x14ac:dyDescent="0.25">
      <c r="A373" s="76" t="s">
        <v>609</v>
      </c>
      <c r="B373" s="46" t="s">
        <v>480</v>
      </c>
      <c r="C373" s="46" t="s">
        <v>58</v>
      </c>
      <c r="D373" s="46" t="s">
        <v>0</v>
      </c>
      <c r="E373" s="46" t="s">
        <v>196</v>
      </c>
      <c r="F373" s="72"/>
      <c r="G373" s="149">
        <f>G374</f>
        <v>269.10000000000002</v>
      </c>
    </row>
    <row r="374" spans="1:7" s="95" customFormat="1" ht="20.399999999999999" customHeight="1" x14ac:dyDescent="0.25">
      <c r="A374" s="73" t="s">
        <v>21</v>
      </c>
      <c r="B374" s="46" t="s">
        <v>480</v>
      </c>
      <c r="C374" s="46" t="s">
        <v>58</v>
      </c>
      <c r="D374" s="46" t="s">
        <v>0</v>
      </c>
      <c r="E374" s="46" t="s">
        <v>196</v>
      </c>
      <c r="F374" s="72" t="s">
        <v>22</v>
      </c>
      <c r="G374" s="149">
        <v>269.10000000000002</v>
      </c>
    </row>
    <row r="375" spans="1:7" s="95" customFormat="1" ht="36.75" customHeight="1" x14ac:dyDescent="0.25">
      <c r="A375" s="127" t="s">
        <v>199</v>
      </c>
      <c r="B375" s="46" t="s">
        <v>480</v>
      </c>
      <c r="C375" s="46" t="s">
        <v>58</v>
      </c>
      <c r="D375" s="46" t="s">
        <v>0</v>
      </c>
      <c r="E375" s="46" t="s">
        <v>46</v>
      </c>
      <c r="F375" s="46"/>
      <c r="G375" s="149">
        <v>2725.9</v>
      </c>
    </row>
    <row r="376" spans="1:7" s="95" customFormat="1" ht="20.399999999999999" customHeight="1" x14ac:dyDescent="0.25">
      <c r="A376" s="73" t="s">
        <v>21</v>
      </c>
      <c r="B376" s="46" t="s">
        <v>480</v>
      </c>
      <c r="C376" s="46" t="s">
        <v>58</v>
      </c>
      <c r="D376" s="46" t="s">
        <v>0</v>
      </c>
      <c r="E376" s="46" t="s">
        <v>46</v>
      </c>
      <c r="F376" s="46" t="s">
        <v>22</v>
      </c>
      <c r="G376" s="149">
        <v>2725.9</v>
      </c>
    </row>
    <row r="377" spans="1:7" s="95" customFormat="1" ht="31.5" customHeight="1" x14ac:dyDescent="0.25">
      <c r="A377" s="120" t="s">
        <v>385</v>
      </c>
      <c r="B377" s="13" t="s">
        <v>8</v>
      </c>
      <c r="C377" s="13"/>
      <c r="D377" s="13"/>
      <c r="E377" s="13"/>
      <c r="F377" s="14"/>
      <c r="G377" s="149">
        <f>SUM(G378)</f>
        <v>57620.1</v>
      </c>
    </row>
    <row r="378" spans="1:7" s="95" customFormat="1" ht="31.5" customHeight="1" x14ac:dyDescent="0.25">
      <c r="A378" s="120" t="s">
        <v>493</v>
      </c>
      <c r="B378" s="13" t="s">
        <v>8</v>
      </c>
      <c r="C378" s="13" t="s">
        <v>58</v>
      </c>
      <c r="D378" s="13"/>
      <c r="E378" s="13"/>
      <c r="F378" s="13"/>
      <c r="G378" s="149">
        <f>SUM(G379)</f>
        <v>57620.1</v>
      </c>
    </row>
    <row r="379" spans="1:7" s="95" customFormat="1" ht="18" customHeight="1" x14ac:dyDescent="0.25">
      <c r="A379" s="120" t="s">
        <v>97</v>
      </c>
      <c r="B379" s="13" t="s">
        <v>8</v>
      </c>
      <c r="C379" s="13" t="s">
        <v>58</v>
      </c>
      <c r="D379" s="13" t="s">
        <v>0</v>
      </c>
      <c r="E379" s="13"/>
      <c r="F379" s="13"/>
      <c r="G379" s="149">
        <f>SUM(G399+G385+G396+G382+G389+G391+G393+G387+G380)</f>
        <v>57620.1</v>
      </c>
    </row>
    <row r="380" spans="1:7" s="95" customFormat="1" ht="31.5" customHeight="1" x14ac:dyDescent="0.25">
      <c r="A380" s="119" t="s">
        <v>669</v>
      </c>
      <c r="B380" s="13" t="s">
        <v>8</v>
      </c>
      <c r="C380" s="13" t="s">
        <v>58</v>
      </c>
      <c r="D380" s="13" t="s">
        <v>0</v>
      </c>
      <c r="E380" s="13" t="s">
        <v>639</v>
      </c>
      <c r="F380" s="13"/>
      <c r="G380" s="149">
        <f>SUM(G381)</f>
        <v>50</v>
      </c>
    </row>
    <row r="381" spans="1:7" s="95" customFormat="1" ht="31.5" customHeight="1" x14ac:dyDescent="0.25">
      <c r="A381" s="29" t="s">
        <v>115</v>
      </c>
      <c r="B381" s="13" t="s">
        <v>8</v>
      </c>
      <c r="C381" s="13" t="s">
        <v>58</v>
      </c>
      <c r="D381" s="13" t="s">
        <v>0</v>
      </c>
      <c r="E381" s="13" t="s">
        <v>639</v>
      </c>
      <c r="F381" s="13" t="s">
        <v>20</v>
      </c>
      <c r="G381" s="149">
        <v>50</v>
      </c>
    </row>
    <row r="382" spans="1:7" s="95" customFormat="1" ht="69" customHeight="1" x14ac:dyDescent="0.25">
      <c r="A382" s="122" t="s">
        <v>188</v>
      </c>
      <c r="B382" s="13" t="s">
        <v>8</v>
      </c>
      <c r="C382" s="13" t="s">
        <v>58</v>
      </c>
      <c r="D382" s="13" t="s">
        <v>0</v>
      </c>
      <c r="E382" s="13" t="s">
        <v>250</v>
      </c>
      <c r="F382" s="13"/>
      <c r="G382" s="149">
        <f>SUM(G383:G384)</f>
        <v>30252.1</v>
      </c>
    </row>
    <row r="383" spans="1:7" s="95" customFormat="1" ht="31.5" customHeight="1" x14ac:dyDescent="0.25">
      <c r="A383" s="29" t="s">
        <v>115</v>
      </c>
      <c r="B383" s="13" t="s">
        <v>8</v>
      </c>
      <c r="C383" s="13" t="s">
        <v>58</v>
      </c>
      <c r="D383" s="13" t="s">
        <v>0</v>
      </c>
      <c r="E383" s="13" t="s">
        <v>250</v>
      </c>
      <c r="F383" s="13" t="s">
        <v>20</v>
      </c>
      <c r="G383" s="149">
        <v>300</v>
      </c>
    </row>
    <row r="384" spans="1:7" s="95" customFormat="1" ht="18" customHeight="1" x14ac:dyDescent="0.25">
      <c r="A384" s="29" t="s">
        <v>117</v>
      </c>
      <c r="B384" s="13" t="s">
        <v>8</v>
      </c>
      <c r="C384" s="13" t="s">
        <v>58</v>
      </c>
      <c r="D384" s="13" t="s">
        <v>0</v>
      </c>
      <c r="E384" s="13" t="s">
        <v>250</v>
      </c>
      <c r="F384" s="13" t="s">
        <v>109</v>
      </c>
      <c r="G384" s="149">
        <v>29952.1</v>
      </c>
    </row>
    <row r="385" spans="1:7" s="95" customFormat="1" ht="49.2" customHeight="1" x14ac:dyDescent="0.25">
      <c r="A385" s="124" t="s">
        <v>271</v>
      </c>
      <c r="B385" s="13" t="s">
        <v>8</v>
      </c>
      <c r="C385" s="13" t="s">
        <v>58</v>
      </c>
      <c r="D385" s="13" t="s">
        <v>0</v>
      </c>
      <c r="E385" s="13" t="s">
        <v>268</v>
      </c>
      <c r="F385" s="13"/>
      <c r="G385" s="149">
        <f>SUM(G386:G386)</f>
        <v>205</v>
      </c>
    </row>
    <row r="386" spans="1:7" s="95" customFormat="1" ht="17.25" customHeight="1" x14ac:dyDescent="0.25">
      <c r="A386" s="29" t="s">
        <v>117</v>
      </c>
      <c r="B386" s="13" t="s">
        <v>8</v>
      </c>
      <c r="C386" s="13" t="s">
        <v>58</v>
      </c>
      <c r="D386" s="13" t="s">
        <v>0</v>
      </c>
      <c r="E386" s="13" t="s">
        <v>268</v>
      </c>
      <c r="F386" s="13" t="s">
        <v>109</v>
      </c>
      <c r="G386" s="149">
        <v>205</v>
      </c>
    </row>
    <row r="387" spans="1:7" s="95" customFormat="1" ht="81" customHeight="1" x14ac:dyDescent="0.25">
      <c r="A387" s="124" t="s">
        <v>653</v>
      </c>
      <c r="B387" s="13" t="s">
        <v>8</v>
      </c>
      <c r="C387" s="13" t="s">
        <v>58</v>
      </c>
      <c r="D387" s="13" t="s">
        <v>0</v>
      </c>
      <c r="E387" s="13" t="s">
        <v>252</v>
      </c>
      <c r="F387" s="13"/>
      <c r="G387" s="149">
        <f>G388</f>
        <v>73.2</v>
      </c>
    </row>
    <row r="388" spans="1:7" s="95" customFormat="1" ht="36" customHeight="1" x14ac:dyDescent="0.25">
      <c r="A388" s="29" t="s">
        <v>115</v>
      </c>
      <c r="B388" s="13" t="s">
        <v>8</v>
      </c>
      <c r="C388" s="13" t="s">
        <v>58</v>
      </c>
      <c r="D388" s="13" t="s">
        <v>0</v>
      </c>
      <c r="E388" s="13" t="s">
        <v>252</v>
      </c>
      <c r="F388" s="13" t="s">
        <v>20</v>
      </c>
      <c r="G388" s="149">
        <v>73.2</v>
      </c>
    </row>
    <row r="389" spans="1:7" s="95" customFormat="1" ht="46.2" customHeight="1" x14ac:dyDescent="0.25">
      <c r="A389" s="119" t="s">
        <v>189</v>
      </c>
      <c r="B389" s="13" t="s">
        <v>8</v>
      </c>
      <c r="C389" s="13" t="s">
        <v>58</v>
      </c>
      <c r="D389" s="13" t="s">
        <v>0</v>
      </c>
      <c r="E389" s="13" t="s">
        <v>251</v>
      </c>
      <c r="F389" s="13"/>
      <c r="G389" s="149">
        <f>SUM(G390:G390)</f>
        <v>12505.3</v>
      </c>
    </row>
    <row r="390" spans="1:7" s="95" customFormat="1" ht="18" customHeight="1" x14ac:dyDescent="0.25">
      <c r="A390" s="29" t="s">
        <v>117</v>
      </c>
      <c r="B390" s="13" t="s">
        <v>8</v>
      </c>
      <c r="C390" s="13" t="s">
        <v>58</v>
      </c>
      <c r="D390" s="13" t="s">
        <v>0</v>
      </c>
      <c r="E390" s="13" t="s">
        <v>251</v>
      </c>
      <c r="F390" s="13" t="s">
        <v>109</v>
      </c>
      <c r="G390" s="149">
        <v>12505.3</v>
      </c>
    </row>
    <row r="391" spans="1:7" s="95" customFormat="1" ht="51" customHeight="1" x14ac:dyDescent="0.25">
      <c r="A391" s="124" t="s">
        <v>272</v>
      </c>
      <c r="B391" s="13" t="s">
        <v>8</v>
      </c>
      <c r="C391" s="13" t="s">
        <v>58</v>
      </c>
      <c r="D391" s="13" t="s">
        <v>0</v>
      </c>
      <c r="E391" s="13" t="s">
        <v>269</v>
      </c>
      <c r="F391" s="13"/>
      <c r="G391" s="149">
        <f>G392</f>
        <v>204.7</v>
      </c>
    </row>
    <row r="392" spans="1:7" s="95" customFormat="1" ht="22.5" customHeight="1" x14ac:dyDescent="0.25">
      <c r="A392" s="29" t="s">
        <v>117</v>
      </c>
      <c r="B392" s="13" t="s">
        <v>8</v>
      </c>
      <c r="C392" s="13" t="s">
        <v>58</v>
      </c>
      <c r="D392" s="13" t="s">
        <v>0</v>
      </c>
      <c r="E392" s="13" t="s">
        <v>269</v>
      </c>
      <c r="F392" s="13" t="s">
        <v>109</v>
      </c>
      <c r="G392" s="149">
        <v>204.7</v>
      </c>
    </row>
    <row r="393" spans="1:7" s="95" customFormat="1" ht="132.75" customHeight="1" x14ac:dyDescent="0.25">
      <c r="A393" s="121" t="s">
        <v>191</v>
      </c>
      <c r="B393" s="13" t="s">
        <v>8</v>
      </c>
      <c r="C393" s="13" t="s">
        <v>58</v>
      </c>
      <c r="D393" s="13" t="s">
        <v>0</v>
      </c>
      <c r="E393" s="13" t="s">
        <v>255</v>
      </c>
      <c r="F393" s="13"/>
      <c r="G393" s="149">
        <f>SUM(G394:G395)</f>
        <v>1318.4</v>
      </c>
    </row>
    <row r="394" spans="1:7" s="95" customFormat="1" ht="49.5" customHeight="1" x14ac:dyDescent="0.25">
      <c r="A394" s="29" t="s">
        <v>114</v>
      </c>
      <c r="B394" s="13" t="s">
        <v>8</v>
      </c>
      <c r="C394" s="13" t="s">
        <v>58</v>
      </c>
      <c r="D394" s="13" t="s">
        <v>0</v>
      </c>
      <c r="E394" s="13" t="s">
        <v>255</v>
      </c>
      <c r="F394" s="13" t="s">
        <v>19</v>
      </c>
      <c r="G394" s="149">
        <v>1150</v>
      </c>
    </row>
    <row r="395" spans="1:7" s="95" customFormat="1" ht="31.5" customHeight="1" x14ac:dyDescent="0.25">
      <c r="A395" s="29" t="s">
        <v>115</v>
      </c>
      <c r="B395" s="13" t="s">
        <v>8</v>
      </c>
      <c r="C395" s="13" t="s">
        <v>58</v>
      </c>
      <c r="D395" s="13" t="s">
        <v>0</v>
      </c>
      <c r="E395" s="13" t="s">
        <v>255</v>
      </c>
      <c r="F395" s="13" t="s">
        <v>20</v>
      </c>
      <c r="G395" s="149">
        <v>168.4</v>
      </c>
    </row>
    <row r="396" spans="1:7" s="95" customFormat="1" ht="47.25" customHeight="1" x14ac:dyDescent="0.25">
      <c r="A396" s="120" t="s">
        <v>249</v>
      </c>
      <c r="B396" s="13" t="s">
        <v>8</v>
      </c>
      <c r="C396" s="13" t="s">
        <v>58</v>
      </c>
      <c r="D396" s="13" t="s">
        <v>0</v>
      </c>
      <c r="E396" s="13" t="s">
        <v>254</v>
      </c>
      <c r="F396" s="13"/>
      <c r="G396" s="149">
        <f>SUM(G397:G398)</f>
        <v>982.90000000000009</v>
      </c>
    </row>
    <row r="397" spans="1:7" s="95" customFormat="1" ht="48.6" customHeight="1" x14ac:dyDescent="0.25">
      <c r="A397" s="29" t="s">
        <v>114</v>
      </c>
      <c r="B397" s="13" t="s">
        <v>8</v>
      </c>
      <c r="C397" s="13" t="s">
        <v>58</v>
      </c>
      <c r="D397" s="13" t="s">
        <v>0</v>
      </c>
      <c r="E397" s="13" t="s">
        <v>254</v>
      </c>
      <c r="F397" s="13" t="s">
        <v>19</v>
      </c>
      <c r="G397" s="149">
        <v>898.7</v>
      </c>
    </row>
    <row r="398" spans="1:7" s="95" customFormat="1" ht="31.5" customHeight="1" x14ac:dyDescent="0.25">
      <c r="A398" s="29" t="s">
        <v>115</v>
      </c>
      <c r="B398" s="13" t="s">
        <v>8</v>
      </c>
      <c r="C398" s="13" t="s">
        <v>58</v>
      </c>
      <c r="D398" s="13" t="s">
        <v>0</v>
      </c>
      <c r="E398" s="13" t="s">
        <v>254</v>
      </c>
      <c r="F398" s="13" t="s">
        <v>20</v>
      </c>
      <c r="G398" s="149">
        <v>84.2</v>
      </c>
    </row>
    <row r="399" spans="1:7" s="95" customFormat="1" ht="47.25" customHeight="1" x14ac:dyDescent="0.25">
      <c r="A399" s="120" t="s">
        <v>654</v>
      </c>
      <c r="B399" s="13" t="s">
        <v>8</v>
      </c>
      <c r="C399" s="13" t="s">
        <v>58</v>
      </c>
      <c r="D399" s="13" t="s">
        <v>0</v>
      </c>
      <c r="E399" s="13" t="s">
        <v>253</v>
      </c>
      <c r="F399" s="13"/>
      <c r="G399" s="149">
        <f>SUM(G400:G401)</f>
        <v>12028.5</v>
      </c>
    </row>
    <row r="400" spans="1:7" s="95" customFormat="1" ht="49.2" customHeight="1" x14ac:dyDescent="0.25">
      <c r="A400" s="29" t="s">
        <v>114</v>
      </c>
      <c r="B400" s="13" t="s">
        <v>8</v>
      </c>
      <c r="C400" s="13" t="s">
        <v>58</v>
      </c>
      <c r="D400" s="13" t="s">
        <v>0</v>
      </c>
      <c r="E400" s="13" t="s">
        <v>253</v>
      </c>
      <c r="F400" s="13" t="s">
        <v>19</v>
      </c>
      <c r="G400" s="149">
        <v>11102.3</v>
      </c>
    </row>
    <row r="401" spans="1:7" s="95" customFormat="1" ht="31.5" customHeight="1" x14ac:dyDescent="0.25">
      <c r="A401" s="29" t="s">
        <v>115</v>
      </c>
      <c r="B401" s="13" t="s">
        <v>8</v>
      </c>
      <c r="C401" s="13" t="s">
        <v>58</v>
      </c>
      <c r="D401" s="13" t="s">
        <v>0</v>
      </c>
      <c r="E401" s="13" t="s">
        <v>253</v>
      </c>
      <c r="F401" s="13" t="s">
        <v>20</v>
      </c>
      <c r="G401" s="149">
        <v>926.2</v>
      </c>
    </row>
    <row r="402" spans="1:7" ht="18" customHeight="1" x14ac:dyDescent="0.25">
      <c r="A402" s="118" t="s">
        <v>453</v>
      </c>
      <c r="B402" s="13" t="s">
        <v>282</v>
      </c>
      <c r="C402" s="13"/>
      <c r="D402" s="13"/>
      <c r="E402" s="13"/>
      <c r="F402" s="13"/>
      <c r="G402" s="149">
        <f>SUM(G403+G420+G439)</f>
        <v>771641.6</v>
      </c>
    </row>
    <row r="403" spans="1:7" s="95" customFormat="1" ht="31.5" customHeight="1" x14ac:dyDescent="0.25">
      <c r="A403" s="118" t="s">
        <v>539</v>
      </c>
      <c r="B403" s="13" t="s">
        <v>282</v>
      </c>
      <c r="C403" s="13" t="s">
        <v>58</v>
      </c>
      <c r="D403" s="13"/>
      <c r="E403" s="13"/>
      <c r="F403" s="13"/>
      <c r="G403" s="149">
        <f>SUM(G404)</f>
        <v>85563.900000000009</v>
      </c>
    </row>
    <row r="404" spans="1:7" s="95" customFormat="1" ht="51.75" customHeight="1" x14ac:dyDescent="0.25">
      <c r="A404" s="118" t="s">
        <v>548</v>
      </c>
      <c r="B404" s="13" t="s">
        <v>282</v>
      </c>
      <c r="C404" s="13" t="s">
        <v>58</v>
      </c>
      <c r="D404" s="13" t="s">
        <v>0</v>
      </c>
      <c r="E404" s="13"/>
      <c r="F404" s="13"/>
      <c r="G404" s="149">
        <f>SUM(G405+G408+G414+G416+G418+G412)</f>
        <v>85563.900000000009</v>
      </c>
    </row>
    <row r="405" spans="1:7" s="95" customFormat="1" ht="18" customHeight="1" x14ac:dyDescent="0.25">
      <c r="A405" s="29" t="s">
        <v>17</v>
      </c>
      <c r="B405" s="13" t="s">
        <v>282</v>
      </c>
      <c r="C405" s="13" t="s">
        <v>58</v>
      </c>
      <c r="D405" s="13" t="s">
        <v>0</v>
      </c>
      <c r="E405" s="13" t="s">
        <v>41</v>
      </c>
      <c r="F405" s="13"/>
      <c r="G405" s="149">
        <f>SUM(G406:G407)</f>
        <v>10062.299999999999</v>
      </c>
    </row>
    <row r="406" spans="1:7" s="95" customFormat="1" ht="53.25" customHeight="1" x14ac:dyDescent="0.25">
      <c r="A406" s="29" t="s">
        <v>114</v>
      </c>
      <c r="B406" s="13" t="s">
        <v>282</v>
      </c>
      <c r="C406" s="13" t="s">
        <v>58</v>
      </c>
      <c r="D406" s="13" t="s">
        <v>0</v>
      </c>
      <c r="E406" s="13" t="s">
        <v>41</v>
      </c>
      <c r="F406" s="13" t="s">
        <v>19</v>
      </c>
      <c r="G406" s="149">
        <v>9939.2999999999993</v>
      </c>
    </row>
    <row r="407" spans="1:7" s="95" customFormat="1" ht="31.5" customHeight="1" x14ac:dyDescent="0.25">
      <c r="A407" s="29" t="s">
        <v>115</v>
      </c>
      <c r="B407" s="13" t="s">
        <v>282</v>
      </c>
      <c r="C407" s="13" t="s">
        <v>58</v>
      </c>
      <c r="D407" s="13" t="s">
        <v>0</v>
      </c>
      <c r="E407" s="13" t="s">
        <v>41</v>
      </c>
      <c r="F407" s="13" t="s">
        <v>20</v>
      </c>
      <c r="G407" s="149">
        <v>123</v>
      </c>
    </row>
    <row r="408" spans="1:7" s="95" customFormat="1" ht="47.25" customHeight="1" x14ac:dyDescent="0.25">
      <c r="A408" s="29" t="s">
        <v>28</v>
      </c>
      <c r="B408" s="13" t="s">
        <v>282</v>
      </c>
      <c r="C408" s="13" t="s">
        <v>58</v>
      </c>
      <c r="D408" s="13" t="s">
        <v>0</v>
      </c>
      <c r="E408" s="13" t="s">
        <v>51</v>
      </c>
      <c r="F408" s="13"/>
      <c r="G408" s="149">
        <f>SUM(G409:G411)</f>
        <v>74566.5</v>
      </c>
    </row>
    <row r="409" spans="1:7" s="95" customFormat="1" ht="47.25" customHeight="1" x14ac:dyDescent="0.25">
      <c r="A409" s="29" t="s">
        <v>114</v>
      </c>
      <c r="B409" s="13" t="s">
        <v>282</v>
      </c>
      <c r="C409" s="13" t="s">
        <v>58</v>
      </c>
      <c r="D409" s="13" t="s">
        <v>0</v>
      </c>
      <c r="E409" s="13" t="s">
        <v>51</v>
      </c>
      <c r="F409" s="13" t="s">
        <v>19</v>
      </c>
      <c r="G409" s="149">
        <v>10319.4</v>
      </c>
    </row>
    <row r="410" spans="1:7" s="95" customFormat="1" ht="31.5" customHeight="1" x14ac:dyDescent="0.25">
      <c r="A410" s="29" t="s">
        <v>115</v>
      </c>
      <c r="B410" s="13" t="s">
        <v>282</v>
      </c>
      <c r="C410" s="13" t="s">
        <v>58</v>
      </c>
      <c r="D410" s="13" t="s">
        <v>0</v>
      </c>
      <c r="E410" s="13" t="s">
        <v>51</v>
      </c>
      <c r="F410" s="13" t="s">
        <v>20</v>
      </c>
      <c r="G410" s="149">
        <v>889.6</v>
      </c>
    </row>
    <row r="411" spans="1:7" s="95" customFormat="1" ht="31.5" customHeight="1" x14ac:dyDescent="0.25">
      <c r="A411" s="30" t="s">
        <v>116</v>
      </c>
      <c r="B411" s="13" t="s">
        <v>282</v>
      </c>
      <c r="C411" s="13" t="s">
        <v>58</v>
      </c>
      <c r="D411" s="13" t="s">
        <v>0</v>
      </c>
      <c r="E411" s="13" t="s">
        <v>51</v>
      </c>
      <c r="F411" s="13" t="s">
        <v>111</v>
      </c>
      <c r="G411" s="149">
        <v>63357.5</v>
      </c>
    </row>
    <row r="412" spans="1:7" s="95" customFormat="1" ht="38.25" customHeight="1" x14ac:dyDescent="0.25">
      <c r="A412" s="30" t="s">
        <v>699</v>
      </c>
      <c r="B412" s="13" t="s">
        <v>282</v>
      </c>
      <c r="C412" s="13" t="s">
        <v>58</v>
      </c>
      <c r="D412" s="13" t="s">
        <v>0</v>
      </c>
      <c r="E412" s="13" t="s">
        <v>579</v>
      </c>
      <c r="F412" s="13"/>
      <c r="G412" s="149">
        <f>G413</f>
        <v>752.7</v>
      </c>
    </row>
    <row r="413" spans="1:7" s="95" customFormat="1" ht="31.5" customHeight="1" x14ac:dyDescent="0.25">
      <c r="A413" s="29" t="s">
        <v>115</v>
      </c>
      <c r="B413" s="13" t="s">
        <v>282</v>
      </c>
      <c r="C413" s="13" t="s">
        <v>58</v>
      </c>
      <c r="D413" s="13" t="s">
        <v>0</v>
      </c>
      <c r="E413" s="13" t="s">
        <v>579</v>
      </c>
      <c r="F413" s="13" t="s">
        <v>20</v>
      </c>
      <c r="G413" s="149">
        <f>688.5+64.2</f>
        <v>752.7</v>
      </c>
    </row>
    <row r="414" spans="1:7" s="95" customFormat="1" ht="18" customHeight="1" x14ac:dyDescent="0.25">
      <c r="A414" s="29" t="s">
        <v>228</v>
      </c>
      <c r="B414" s="13" t="s">
        <v>282</v>
      </c>
      <c r="C414" s="13" t="s">
        <v>58</v>
      </c>
      <c r="D414" s="13" t="s">
        <v>0</v>
      </c>
      <c r="E414" s="13" t="s">
        <v>229</v>
      </c>
      <c r="F414" s="13"/>
      <c r="G414" s="149">
        <f>SUM(G415)</f>
        <v>37.299999999999997</v>
      </c>
    </row>
    <row r="415" spans="1:7" s="95" customFormat="1" ht="31.5" customHeight="1" x14ac:dyDescent="0.25">
      <c r="A415" s="29" t="s">
        <v>115</v>
      </c>
      <c r="B415" s="13" t="s">
        <v>282</v>
      </c>
      <c r="C415" s="13" t="s">
        <v>58</v>
      </c>
      <c r="D415" s="13" t="s">
        <v>0</v>
      </c>
      <c r="E415" s="13" t="s">
        <v>229</v>
      </c>
      <c r="F415" s="13" t="s">
        <v>20</v>
      </c>
      <c r="G415" s="149">
        <v>37.299999999999997</v>
      </c>
    </row>
    <row r="416" spans="1:7" s="95" customFormat="1" ht="18" customHeight="1" x14ac:dyDescent="0.25">
      <c r="A416" s="29" t="s">
        <v>234</v>
      </c>
      <c r="B416" s="13" t="s">
        <v>282</v>
      </c>
      <c r="C416" s="13" t="s">
        <v>58</v>
      </c>
      <c r="D416" s="13" t="s">
        <v>0</v>
      </c>
      <c r="E416" s="13" t="s">
        <v>235</v>
      </c>
      <c r="F416" s="13"/>
      <c r="G416" s="149">
        <f>SUM(G417)</f>
        <v>25.1</v>
      </c>
    </row>
    <row r="417" spans="1:7" s="95" customFormat="1" ht="31.5" customHeight="1" x14ac:dyDescent="0.25">
      <c r="A417" s="29" t="s">
        <v>115</v>
      </c>
      <c r="B417" s="13" t="s">
        <v>282</v>
      </c>
      <c r="C417" s="13" t="s">
        <v>58</v>
      </c>
      <c r="D417" s="13" t="s">
        <v>0</v>
      </c>
      <c r="E417" s="13" t="s">
        <v>235</v>
      </c>
      <c r="F417" s="13" t="s">
        <v>20</v>
      </c>
      <c r="G417" s="149">
        <v>25.1</v>
      </c>
    </row>
    <row r="418" spans="1:7" s="95" customFormat="1" ht="31.5" customHeight="1" x14ac:dyDescent="0.25">
      <c r="A418" s="29" t="s">
        <v>232</v>
      </c>
      <c r="B418" s="13" t="s">
        <v>282</v>
      </c>
      <c r="C418" s="13" t="s">
        <v>58</v>
      </c>
      <c r="D418" s="13" t="s">
        <v>0</v>
      </c>
      <c r="E418" s="13" t="s">
        <v>233</v>
      </c>
      <c r="F418" s="13"/>
      <c r="G418" s="149">
        <f>SUM(G419)</f>
        <v>120</v>
      </c>
    </row>
    <row r="419" spans="1:7" s="95" customFormat="1" ht="31.5" customHeight="1" x14ac:dyDescent="0.25">
      <c r="A419" s="29" t="s">
        <v>115</v>
      </c>
      <c r="B419" s="13" t="s">
        <v>282</v>
      </c>
      <c r="C419" s="13" t="s">
        <v>58</v>
      </c>
      <c r="D419" s="13" t="s">
        <v>0</v>
      </c>
      <c r="E419" s="13" t="s">
        <v>233</v>
      </c>
      <c r="F419" s="13" t="s">
        <v>20</v>
      </c>
      <c r="G419" s="149">
        <v>120</v>
      </c>
    </row>
    <row r="420" spans="1:7" s="95" customFormat="1" ht="47.25" customHeight="1" x14ac:dyDescent="0.25">
      <c r="A420" s="29" t="s">
        <v>700</v>
      </c>
      <c r="B420" s="13" t="s">
        <v>282</v>
      </c>
      <c r="C420" s="25">
        <v>2</v>
      </c>
      <c r="D420" s="13"/>
      <c r="E420" s="13"/>
      <c r="F420" s="13"/>
      <c r="G420" s="149">
        <f>SUM(G421)</f>
        <v>673716.1</v>
      </c>
    </row>
    <row r="421" spans="1:7" s="95" customFormat="1" ht="18" customHeight="1" x14ac:dyDescent="0.25">
      <c r="A421" s="29" t="s">
        <v>524</v>
      </c>
      <c r="B421" s="13" t="s">
        <v>282</v>
      </c>
      <c r="C421" s="25">
        <v>2</v>
      </c>
      <c r="D421" s="13" t="s">
        <v>0</v>
      </c>
      <c r="E421" s="13"/>
      <c r="F421" s="13"/>
      <c r="G421" s="149">
        <f>SUM(G422+G425+G431+G433+G435+G437+G427+G429)</f>
        <v>673716.1</v>
      </c>
    </row>
    <row r="422" spans="1:7" s="95" customFormat="1" ht="51.75" customHeight="1" x14ac:dyDescent="0.25">
      <c r="A422" s="137" t="s">
        <v>701</v>
      </c>
      <c r="B422" s="134" t="s">
        <v>282</v>
      </c>
      <c r="C422" s="138">
        <v>2</v>
      </c>
      <c r="D422" s="134" t="s">
        <v>0</v>
      </c>
      <c r="E422" s="134" t="s">
        <v>526</v>
      </c>
      <c r="F422" s="134"/>
      <c r="G422" s="149">
        <f>G423+G424</f>
        <v>9225.7000000000007</v>
      </c>
    </row>
    <row r="423" spans="1:7" s="95" customFormat="1" ht="31.2" x14ac:dyDescent="0.25">
      <c r="A423" s="137" t="s">
        <v>115</v>
      </c>
      <c r="B423" s="134" t="s">
        <v>282</v>
      </c>
      <c r="C423" s="138">
        <v>2</v>
      </c>
      <c r="D423" s="134" t="s">
        <v>0</v>
      </c>
      <c r="E423" s="134" t="s">
        <v>526</v>
      </c>
      <c r="F423" s="134" t="s">
        <v>20</v>
      </c>
      <c r="G423" s="149">
        <v>600</v>
      </c>
    </row>
    <row r="424" spans="1:7" s="95" customFormat="1" ht="31.2" x14ac:dyDescent="0.25">
      <c r="A424" s="137" t="s">
        <v>118</v>
      </c>
      <c r="B424" s="134" t="s">
        <v>282</v>
      </c>
      <c r="C424" s="138">
        <v>2</v>
      </c>
      <c r="D424" s="134" t="s">
        <v>0</v>
      </c>
      <c r="E424" s="134" t="s">
        <v>526</v>
      </c>
      <c r="F424" s="134" t="s">
        <v>119</v>
      </c>
      <c r="G424" s="149">
        <v>8625.7000000000007</v>
      </c>
    </row>
    <row r="425" spans="1:7" s="95" customFormat="1" ht="47.25" customHeight="1" x14ac:dyDescent="0.25">
      <c r="A425" s="30" t="s">
        <v>585</v>
      </c>
      <c r="B425" s="13" t="s">
        <v>282</v>
      </c>
      <c r="C425" s="25">
        <v>2</v>
      </c>
      <c r="D425" s="13" t="s">
        <v>0</v>
      </c>
      <c r="E425" s="13" t="s">
        <v>583</v>
      </c>
      <c r="F425" s="13"/>
      <c r="G425" s="149">
        <f>G426</f>
        <v>43587.400000000009</v>
      </c>
    </row>
    <row r="426" spans="1:7" s="95" customFormat="1" ht="31.5" customHeight="1" x14ac:dyDescent="0.25">
      <c r="A426" s="29" t="s">
        <v>115</v>
      </c>
      <c r="B426" s="13" t="s">
        <v>282</v>
      </c>
      <c r="C426" s="25">
        <v>2</v>
      </c>
      <c r="D426" s="13" t="s">
        <v>0</v>
      </c>
      <c r="E426" s="13" t="s">
        <v>583</v>
      </c>
      <c r="F426" s="13" t="s">
        <v>20</v>
      </c>
      <c r="G426" s="149">
        <f>33527.3-4511.6-2450+16150.9+1365.8-495</f>
        <v>43587.400000000009</v>
      </c>
    </row>
    <row r="427" spans="1:7" s="95" customFormat="1" ht="31.5" customHeight="1" x14ac:dyDescent="0.25">
      <c r="A427" s="140" t="s">
        <v>679</v>
      </c>
      <c r="B427" s="141" t="s">
        <v>282</v>
      </c>
      <c r="C427" s="142">
        <v>2</v>
      </c>
      <c r="D427" s="141" t="s">
        <v>0</v>
      </c>
      <c r="E427" s="141" t="s">
        <v>680</v>
      </c>
      <c r="F427" s="141"/>
      <c r="G427" s="149">
        <f>G428</f>
        <v>3380</v>
      </c>
    </row>
    <row r="428" spans="1:7" s="95" customFormat="1" ht="31.5" customHeight="1" x14ac:dyDescent="0.25">
      <c r="A428" s="140" t="s">
        <v>115</v>
      </c>
      <c r="B428" s="141" t="s">
        <v>282</v>
      </c>
      <c r="C428" s="142">
        <v>2</v>
      </c>
      <c r="D428" s="141" t="s">
        <v>0</v>
      </c>
      <c r="E428" s="141" t="s">
        <v>680</v>
      </c>
      <c r="F428" s="141" t="s">
        <v>20</v>
      </c>
      <c r="G428" s="149">
        <f>2885+495</f>
        <v>3380</v>
      </c>
    </row>
    <row r="429" spans="1:7" s="95" customFormat="1" ht="31.5" customHeight="1" x14ac:dyDescent="0.25">
      <c r="A429" s="148" t="s">
        <v>589</v>
      </c>
      <c r="B429" s="143" t="s">
        <v>282</v>
      </c>
      <c r="C429" s="144">
        <v>2</v>
      </c>
      <c r="D429" s="143" t="s">
        <v>0</v>
      </c>
      <c r="E429" s="143" t="s">
        <v>588</v>
      </c>
      <c r="F429" s="143"/>
      <c r="G429" s="149">
        <f>G430</f>
        <v>525.1</v>
      </c>
    </row>
    <row r="430" spans="1:7" s="95" customFormat="1" ht="31.5" customHeight="1" x14ac:dyDescent="0.25">
      <c r="A430" s="148" t="s">
        <v>118</v>
      </c>
      <c r="B430" s="143" t="s">
        <v>282</v>
      </c>
      <c r="C430" s="144">
        <v>2</v>
      </c>
      <c r="D430" s="143" t="s">
        <v>0</v>
      </c>
      <c r="E430" s="143" t="s">
        <v>588</v>
      </c>
      <c r="F430" s="143" t="s">
        <v>119</v>
      </c>
      <c r="G430" s="149">
        <v>525.1</v>
      </c>
    </row>
    <row r="431" spans="1:7" s="95" customFormat="1" ht="18" customHeight="1" x14ac:dyDescent="0.25">
      <c r="A431" s="30" t="s">
        <v>586</v>
      </c>
      <c r="B431" s="13" t="s">
        <v>282</v>
      </c>
      <c r="C431" s="25">
        <v>2</v>
      </c>
      <c r="D431" s="13" t="s">
        <v>0</v>
      </c>
      <c r="E431" s="13" t="s">
        <v>584</v>
      </c>
      <c r="F431" s="13"/>
      <c r="G431" s="149">
        <f>G432</f>
        <v>6450</v>
      </c>
    </row>
    <row r="432" spans="1:7" s="95" customFormat="1" ht="31.5" customHeight="1" x14ac:dyDescent="0.25">
      <c r="A432" s="29" t="s">
        <v>115</v>
      </c>
      <c r="B432" s="13" t="s">
        <v>282</v>
      </c>
      <c r="C432" s="25">
        <v>2</v>
      </c>
      <c r="D432" s="13" t="s">
        <v>0</v>
      </c>
      <c r="E432" s="13" t="s">
        <v>584</v>
      </c>
      <c r="F432" s="13" t="s">
        <v>20</v>
      </c>
      <c r="G432" s="149">
        <f>826.9-826.9+6450</f>
        <v>6450</v>
      </c>
    </row>
    <row r="433" spans="1:7" s="95" customFormat="1" ht="31.5" customHeight="1" x14ac:dyDescent="0.25">
      <c r="A433" s="29" t="s">
        <v>590</v>
      </c>
      <c r="B433" s="13" t="s">
        <v>282</v>
      </c>
      <c r="C433" s="25">
        <v>2</v>
      </c>
      <c r="D433" s="13" t="s">
        <v>0</v>
      </c>
      <c r="E433" s="46" t="s">
        <v>587</v>
      </c>
      <c r="F433" s="13"/>
      <c r="G433" s="149">
        <f>G434</f>
        <v>524193.3</v>
      </c>
    </row>
    <row r="434" spans="1:7" s="95" customFormat="1" ht="21.6" customHeight="1" x14ac:dyDescent="0.25">
      <c r="A434" s="29" t="s">
        <v>118</v>
      </c>
      <c r="B434" s="13" t="s">
        <v>282</v>
      </c>
      <c r="C434" s="25">
        <v>2</v>
      </c>
      <c r="D434" s="13" t="s">
        <v>0</v>
      </c>
      <c r="E434" s="46" t="s">
        <v>587</v>
      </c>
      <c r="F434" s="13" t="s">
        <v>119</v>
      </c>
      <c r="G434" s="149">
        <f>524036.2+157.1</f>
        <v>524193.3</v>
      </c>
    </row>
    <row r="435" spans="1:7" s="95" customFormat="1" ht="31.5" customHeight="1" x14ac:dyDescent="0.25">
      <c r="A435" s="29" t="s">
        <v>589</v>
      </c>
      <c r="B435" s="13" t="s">
        <v>282</v>
      </c>
      <c r="C435" s="25">
        <v>2</v>
      </c>
      <c r="D435" s="13" t="s">
        <v>0</v>
      </c>
      <c r="E435" s="46" t="s">
        <v>588</v>
      </c>
      <c r="F435" s="13"/>
      <c r="G435" s="149">
        <f>G436</f>
        <v>11162</v>
      </c>
    </row>
    <row r="436" spans="1:7" s="95" customFormat="1" ht="31.5" customHeight="1" x14ac:dyDescent="0.25">
      <c r="A436" s="29" t="s">
        <v>118</v>
      </c>
      <c r="B436" s="13" t="s">
        <v>282</v>
      </c>
      <c r="C436" s="25">
        <v>2</v>
      </c>
      <c r="D436" s="13" t="s">
        <v>0</v>
      </c>
      <c r="E436" s="46" t="s">
        <v>588</v>
      </c>
      <c r="F436" s="13" t="s">
        <v>119</v>
      </c>
      <c r="G436" s="149">
        <v>11162</v>
      </c>
    </row>
    <row r="437" spans="1:7" s="95" customFormat="1" ht="31.5" customHeight="1" x14ac:dyDescent="0.25">
      <c r="A437" s="29" t="s">
        <v>633</v>
      </c>
      <c r="B437" s="13" t="s">
        <v>282</v>
      </c>
      <c r="C437" s="25">
        <v>2</v>
      </c>
      <c r="D437" s="13" t="s">
        <v>0</v>
      </c>
      <c r="E437" s="46" t="s">
        <v>623</v>
      </c>
      <c r="F437" s="13"/>
      <c r="G437" s="149">
        <f>G438</f>
        <v>75192.600000000006</v>
      </c>
    </row>
    <row r="438" spans="1:7" s="95" customFormat="1" ht="31.5" customHeight="1" x14ac:dyDescent="0.25">
      <c r="A438" s="29" t="s">
        <v>115</v>
      </c>
      <c r="B438" s="13" t="s">
        <v>282</v>
      </c>
      <c r="C438" s="25">
        <v>2</v>
      </c>
      <c r="D438" s="13" t="s">
        <v>0</v>
      </c>
      <c r="E438" s="46" t="s">
        <v>623</v>
      </c>
      <c r="F438" s="13" t="s">
        <v>20</v>
      </c>
      <c r="G438" s="149">
        <f>70681+4511.6</f>
        <v>75192.600000000006</v>
      </c>
    </row>
    <row r="439" spans="1:7" s="95" customFormat="1" ht="39" customHeight="1" x14ac:dyDescent="0.25">
      <c r="A439" s="29" t="s">
        <v>702</v>
      </c>
      <c r="B439" s="13" t="s">
        <v>282</v>
      </c>
      <c r="C439" s="25">
        <v>3</v>
      </c>
      <c r="D439" s="13"/>
      <c r="E439" s="13"/>
      <c r="F439" s="13"/>
      <c r="G439" s="149">
        <f>G440</f>
        <v>12361.6</v>
      </c>
    </row>
    <row r="440" spans="1:7" s="95" customFormat="1" ht="35.4" customHeight="1" x14ac:dyDescent="0.25">
      <c r="A440" s="29" t="s">
        <v>572</v>
      </c>
      <c r="B440" s="13" t="s">
        <v>282</v>
      </c>
      <c r="C440" s="25">
        <v>3</v>
      </c>
      <c r="D440" s="13" t="s">
        <v>0</v>
      </c>
      <c r="E440" s="13"/>
      <c r="F440" s="13"/>
      <c r="G440" s="149">
        <f>G441</f>
        <v>12361.6</v>
      </c>
    </row>
    <row r="441" spans="1:7" s="95" customFormat="1" ht="38.4" customHeight="1" x14ac:dyDescent="0.25">
      <c r="A441" s="29" t="s">
        <v>573</v>
      </c>
      <c r="B441" s="13" t="s">
        <v>282</v>
      </c>
      <c r="C441" s="25">
        <v>3</v>
      </c>
      <c r="D441" s="13" t="s">
        <v>0</v>
      </c>
      <c r="E441" s="13" t="s">
        <v>571</v>
      </c>
      <c r="F441" s="13"/>
      <c r="G441" s="149">
        <f>G442</f>
        <v>12361.6</v>
      </c>
    </row>
    <row r="442" spans="1:7" s="95" customFormat="1" ht="31.5" customHeight="1" x14ac:dyDescent="0.25">
      <c r="A442" s="29" t="s">
        <v>115</v>
      </c>
      <c r="B442" s="13" t="s">
        <v>282</v>
      </c>
      <c r="C442" s="25">
        <v>3</v>
      </c>
      <c r="D442" s="13" t="s">
        <v>0</v>
      </c>
      <c r="E442" s="13" t="s">
        <v>571</v>
      </c>
      <c r="F442" s="13" t="s">
        <v>20</v>
      </c>
      <c r="G442" s="149">
        <f>10780.7+1580.9</f>
        <v>12361.6</v>
      </c>
    </row>
    <row r="443" spans="1:7" s="95" customFormat="1" ht="31.5" customHeight="1" x14ac:dyDescent="0.25">
      <c r="A443" s="29" t="s">
        <v>158</v>
      </c>
      <c r="B443" s="13" t="s">
        <v>123</v>
      </c>
      <c r="C443" s="13"/>
      <c r="D443" s="13"/>
      <c r="E443" s="13"/>
      <c r="F443" s="13"/>
      <c r="G443" s="149">
        <f>SUM(G448+G453+G444+G457)</f>
        <v>28335.600000000002</v>
      </c>
    </row>
    <row r="444" spans="1:7" s="95" customFormat="1" ht="47.25" customHeight="1" x14ac:dyDescent="0.25">
      <c r="A444" s="29" t="s">
        <v>386</v>
      </c>
      <c r="B444" s="13" t="s">
        <v>123</v>
      </c>
      <c r="C444" s="13" t="s">
        <v>58</v>
      </c>
      <c r="D444" s="13"/>
      <c r="E444" s="13"/>
      <c r="F444" s="13"/>
      <c r="G444" s="149">
        <f>G445</f>
        <v>1890</v>
      </c>
    </row>
    <row r="445" spans="1:7" s="95" customFormat="1" ht="47.25" customHeight="1" x14ac:dyDescent="0.25">
      <c r="A445" s="29" t="s">
        <v>387</v>
      </c>
      <c r="B445" s="13" t="s">
        <v>123</v>
      </c>
      <c r="C445" s="13" t="s">
        <v>58</v>
      </c>
      <c r="D445" s="13" t="s">
        <v>0</v>
      </c>
      <c r="E445" s="13"/>
      <c r="F445" s="13"/>
      <c r="G445" s="149">
        <f>G446</f>
        <v>1890</v>
      </c>
    </row>
    <row r="446" spans="1:7" s="95" customFormat="1" ht="71.25" customHeight="1" x14ac:dyDescent="0.25">
      <c r="A446" s="29" t="s">
        <v>388</v>
      </c>
      <c r="B446" s="13" t="s">
        <v>123</v>
      </c>
      <c r="C446" s="13" t="s">
        <v>58</v>
      </c>
      <c r="D446" s="13" t="s">
        <v>0</v>
      </c>
      <c r="E446" s="13" t="s">
        <v>316</v>
      </c>
      <c r="F446" s="13"/>
      <c r="G446" s="149">
        <f>G447</f>
        <v>1890</v>
      </c>
    </row>
    <row r="447" spans="1:7" s="95" customFormat="1" ht="31.5" customHeight="1" x14ac:dyDescent="0.25">
      <c r="A447" s="29" t="s">
        <v>115</v>
      </c>
      <c r="B447" s="13" t="s">
        <v>123</v>
      </c>
      <c r="C447" s="13" t="s">
        <v>58</v>
      </c>
      <c r="D447" s="13" t="s">
        <v>0</v>
      </c>
      <c r="E447" s="13" t="s">
        <v>316</v>
      </c>
      <c r="F447" s="13" t="s">
        <v>20</v>
      </c>
      <c r="G447" s="149">
        <f>586+183+1121</f>
        <v>1890</v>
      </c>
    </row>
    <row r="448" spans="1:7" s="95" customFormat="1" ht="31.5" customHeight="1" x14ac:dyDescent="0.25">
      <c r="A448" s="29" t="s">
        <v>389</v>
      </c>
      <c r="B448" s="13" t="s">
        <v>123</v>
      </c>
      <c r="C448" s="13" t="s">
        <v>93</v>
      </c>
      <c r="D448" s="13"/>
      <c r="E448" s="13"/>
      <c r="F448" s="13"/>
      <c r="G448" s="149">
        <f>SUM(G449)</f>
        <v>12630.199999999999</v>
      </c>
    </row>
    <row r="449" spans="1:7" s="95" customFormat="1" ht="79.5" customHeight="1" x14ac:dyDescent="0.25">
      <c r="A449" s="40" t="s">
        <v>551</v>
      </c>
      <c r="B449" s="13" t="s">
        <v>123</v>
      </c>
      <c r="C449" s="13" t="s">
        <v>93</v>
      </c>
      <c r="D449" s="13" t="s">
        <v>0</v>
      </c>
      <c r="E449" s="13"/>
      <c r="F449" s="13"/>
      <c r="G449" s="149">
        <f>SUM(G450)</f>
        <v>12630.199999999999</v>
      </c>
    </row>
    <row r="450" spans="1:7" s="95" customFormat="1" ht="63" customHeight="1" x14ac:dyDescent="0.25">
      <c r="A450" s="29" t="s">
        <v>390</v>
      </c>
      <c r="B450" s="13" t="s">
        <v>123</v>
      </c>
      <c r="C450" s="13" t="s">
        <v>93</v>
      </c>
      <c r="D450" s="13" t="s">
        <v>0</v>
      </c>
      <c r="E450" s="13" t="s">
        <v>134</v>
      </c>
      <c r="F450" s="13"/>
      <c r="G450" s="149">
        <f>SUM(G451:G452)</f>
        <v>12630.199999999999</v>
      </c>
    </row>
    <row r="451" spans="1:7" s="95" customFormat="1" ht="31.5" customHeight="1" x14ac:dyDescent="0.25">
      <c r="A451" s="29" t="s">
        <v>115</v>
      </c>
      <c r="B451" s="13" t="s">
        <v>123</v>
      </c>
      <c r="C451" s="13" t="s">
        <v>93</v>
      </c>
      <c r="D451" s="13" t="s">
        <v>0</v>
      </c>
      <c r="E451" s="13" t="s">
        <v>134</v>
      </c>
      <c r="F451" s="13" t="s">
        <v>20</v>
      </c>
      <c r="G451" s="149">
        <f>5278.8+75.8+6148.7+390+479+15+167.4-42.7+18.2</f>
        <v>12530.199999999999</v>
      </c>
    </row>
    <row r="452" spans="1:7" s="95" customFormat="1" ht="18" customHeight="1" x14ac:dyDescent="0.25">
      <c r="A452" s="29" t="s">
        <v>117</v>
      </c>
      <c r="B452" s="13" t="s">
        <v>123</v>
      </c>
      <c r="C452" s="13" t="s">
        <v>93</v>
      </c>
      <c r="D452" s="13" t="s">
        <v>0</v>
      </c>
      <c r="E452" s="13" t="s">
        <v>134</v>
      </c>
      <c r="F452" s="13" t="s">
        <v>109</v>
      </c>
      <c r="G452" s="149">
        <f>100</f>
        <v>100</v>
      </c>
    </row>
    <row r="453" spans="1:7" s="95" customFormat="1" ht="34.5" customHeight="1" x14ac:dyDescent="0.25">
      <c r="A453" s="29" t="s">
        <v>431</v>
      </c>
      <c r="B453" s="13" t="s">
        <v>123</v>
      </c>
      <c r="C453" s="13" t="s">
        <v>101</v>
      </c>
      <c r="D453" s="13"/>
      <c r="E453" s="13"/>
      <c r="F453" s="13"/>
      <c r="G453" s="149">
        <f>G454</f>
        <v>9481.7000000000007</v>
      </c>
    </row>
    <row r="454" spans="1:7" s="95" customFormat="1" ht="31.5" customHeight="1" x14ac:dyDescent="0.25">
      <c r="A454" s="29" t="s">
        <v>124</v>
      </c>
      <c r="B454" s="13" t="s">
        <v>123</v>
      </c>
      <c r="C454" s="13" t="s">
        <v>101</v>
      </c>
      <c r="D454" s="13" t="s">
        <v>0</v>
      </c>
      <c r="E454" s="13"/>
      <c r="F454" s="13"/>
      <c r="G454" s="149">
        <f>G455</f>
        <v>9481.7000000000007</v>
      </c>
    </row>
    <row r="455" spans="1:7" s="95" customFormat="1" ht="36" customHeight="1" x14ac:dyDescent="0.25">
      <c r="A455" s="29" t="s">
        <v>703</v>
      </c>
      <c r="B455" s="13" t="s">
        <v>123</v>
      </c>
      <c r="C455" s="13" t="s">
        <v>101</v>
      </c>
      <c r="D455" s="13" t="s">
        <v>0</v>
      </c>
      <c r="E455" s="13" t="s">
        <v>125</v>
      </c>
      <c r="F455" s="13"/>
      <c r="G455" s="149">
        <f>G456</f>
        <v>9481.7000000000007</v>
      </c>
    </row>
    <row r="456" spans="1:7" s="95" customFormat="1" ht="31.5" customHeight="1" x14ac:dyDescent="0.25">
      <c r="A456" s="30" t="s">
        <v>116</v>
      </c>
      <c r="B456" s="13" t="s">
        <v>123</v>
      </c>
      <c r="C456" s="13" t="s">
        <v>101</v>
      </c>
      <c r="D456" s="13" t="s">
        <v>0</v>
      </c>
      <c r="E456" s="13" t="s">
        <v>125</v>
      </c>
      <c r="F456" s="13" t="s">
        <v>111</v>
      </c>
      <c r="G456" s="149">
        <v>9481.7000000000007</v>
      </c>
    </row>
    <row r="457" spans="1:7" s="95" customFormat="1" ht="31.5" customHeight="1" x14ac:dyDescent="0.25">
      <c r="A457" s="108" t="s">
        <v>705</v>
      </c>
      <c r="B457" s="13" t="s">
        <v>123</v>
      </c>
      <c r="C457" s="13" t="s">
        <v>65</v>
      </c>
      <c r="D457" s="13"/>
      <c r="E457" s="13"/>
      <c r="F457" s="13"/>
      <c r="G457" s="149">
        <v>4333.7</v>
      </c>
    </row>
    <row r="458" spans="1:7" s="95" customFormat="1" ht="47.25" customHeight="1" x14ac:dyDescent="0.25">
      <c r="A458" s="108" t="s">
        <v>704</v>
      </c>
      <c r="B458" s="13" t="s">
        <v>123</v>
      </c>
      <c r="C458" s="13" t="s">
        <v>65</v>
      </c>
      <c r="D458" s="13" t="s">
        <v>0</v>
      </c>
      <c r="E458" s="13"/>
      <c r="F458" s="13"/>
      <c r="G458" s="149">
        <f>G459+G461+G463</f>
        <v>4333.7</v>
      </c>
    </row>
    <row r="459" spans="1:7" s="95" customFormat="1" ht="31.5" customHeight="1" x14ac:dyDescent="0.25">
      <c r="A459" s="108" t="s">
        <v>706</v>
      </c>
      <c r="B459" s="13" t="s">
        <v>123</v>
      </c>
      <c r="C459" s="13" t="s">
        <v>65</v>
      </c>
      <c r="D459" s="13" t="s">
        <v>0</v>
      </c>
      <c r="E459" s="13" t="s">
        <v>619</v>
      </c>
      <c r="F459" s="13"/>
      <c r="G459" s="149">
        <f>G460</f>
        <v>300.00000000000006</v>
      </c>
    </row>
    <row r="460" spans="1:7" s="95" customFormat="1" ht="31.5" customHeight="1" x14ac:dyDescent="0.25">
      <c r="A460" s="29" t="s">
        <v>115</v>
      </c>
      <c r="B460" s="13" t="s">
        <v>123</v>
      </c>
      <c r="C460" s="13" t="s">
        <v>65</v>
      </c>
      <c r="D460" s="13" t="s">
        <v>0</v>
      </c>
      <c r="E460" s="13" t="s">
        <v>619</v>
      </c>
      <c r="F460" s="13" t="s">
        <v>20</v>
      </c>
      <c r="G460" s="132">
        <f>701.7-401.7</f>
        <v>300.00000000000006</v>
      </c>
    </row>
    <row r="461" spans="1:7" s="95" customFormat="1" ht="31.5" customHeight="1" x14ac:dyDescent="0.25">
      <c r="A461" s="29" t="s">
        <v>641</v>
      </c>
      <c r="B461" s="13" t="s">
        <v>123</v>
      </c>
      <c r="C461" s="13" t="s">
        <v>65</v>
      </c>
      <c r="D461" s="13" t="s">
        <v>0</v>
      </c>
      <c r="E461" s="13" t="s">
        <v>640</v>
      </c>
      <c r="F461" s="13"/>
      <c r="G461" s="132">
        <f>G462</f>
        <v>3632</v>
      </c>
    </row>
    <row r="462" spans="1:7" s="95" customFormat="1" ht="49.5" customHeight="1" x14ac:dyDescent="0.25">
      <c r="A462" s="108" t="s">
        <v>114</v>
      </c>
      <c r="B462" s="13" t="s">
        <v>123</v>
      </c>
      <c r="C462" s="13" t="s">
        <v>65</v>
      </c>
      <c r="D462" s="13" t="s">
        <v>0</v>
      </c>
      <c r="E462" s="13" t="s">
        <v>640</v>
      </c>
      <c r="F462" s="13" t="s">
        <v>19</v>
      </c>
      <c r="G462" s="132">
        <v>3632</v>
      </c>
    </row>
    <row r="463" spans="1:7" s="95" customFormat="1" ht="31.5" customHeight="1" x14ac:dyDescent="0.25">
      <c r="A463" s="108" t="s">
        <v>643</v>
      </c>
      <c r="B463" s="13" t="s">
        <v>123</v>
      </c>
      <c r="C463" s="13" t="s">
        <v>65</v>
      </c>
      <c r="D463" s="13" t="s">
        <v>0</v>
      </c>
      <c r="E463" s="13" t="s">
        <v>642</v>
      </c>
      <c r="F463" s="13"/>
      <c r="G463" s="132">
        <f>G464</f>
        <v>401.7</v>
      </c>
    </row>
    <row r="464" spans="1:7" s="95" customFormat="1" ht="31.5" customHeight="1" x14ac:dyDescent="0.25">
      <c r="A464" s="29" t="s">
        <v>115</v>
      </c>
      <c r="B464" s="13" t="s">
        <v>123</v>
      </c>
      <c r="C464" s="13" t="s">
        <v>65</v>
      </c>
      <c r="D464" s="13" t="s">
        <v>0</v>
      </c>
      <c r="E464" s="13" t="s">
        <v>642</v>
      </c>
      <c r="F464" s="13" t="s">
        <v>20</v>
      </c>
      <c r="G464" s="132">
        <v>401.7</v>
      </c>
    </row>
    <row r="465" spans="1:7" s="95" customFormat="1" ht="31.5" customHeight="1" x14ac:dyDescent="0.25">
      <c r="A465" s="31" t="s">
        <v>159</v>
      </c>
      <c r="B465" s="13" t="s">
        <v>16</v>
      </c>
      <c r="C465" s="13"/>
      <c r="D465" s="13"/>
      <c r="E465" s="13"/>
      <c r="F465" s="14"/>
      <c r="G465" s="149">
        <f>SUM(G466+G487+G496+G502)</f>
        <v>327453.09999999998</v>
      </c>
    </row>
    <row r="466" spans="1:7" s="95" customFormat="1" ht="31.5" customHeight="1" x14ac:dyDescent="0.25">
      <c r="A466" s="31" t="s">
        <v>160</v>
      </c>
      <c r="B466" s="13" t="s">
        <v>16</v>
      </c>
      <c r="C466" s="13" t="s">
        <v>58</v>
      </c>
      <c r="D466" s="13"/>
      <c r="E466" s="13"/>
      <c r="F466" s="14"/>
      <c r="G466" s="149">
        <f>SUM(G467+G478)</f>
        <v>82993.200000000012</v>
      </c>
    </row>
    <row r="467" spans="1:7" s="95" customFormat="1" ht="31.5" customHeight="1" x14ac:dyDescent="0.25">
      <c r="A467" s="31" t="s">
        <v>102</v>
      </c>
      <c r="B467" s="13" t="s">
        <v>16</v>
      </c>
      <c r="C467" s="13" t="s">
        <v>58</v>
      </c>
      <c r="D467" s="13" t="s">
        <v>0</v>
      </c>
      <c r="E467" s="13"/>
      <c r="F467" s="14"/>
      <c r="G467" s="149">
        <f>SUM(G472+G468+G474+G476)</f>
        <v>74143.600000000006</v>
      </c>
    </row>
    <row r="468" spans="1:7" s="95" customFormat="1" ht="47.25" customHeight="1" x14ac:dyDescent="0.25">
      <c r="A468" s="31" t="s">
        <v>28</v>
      </c>
      <c r="B468" s="13" t="s">
        <v>16</v>
      </c>
      <c r="C468" s="13" t="s">
        <v>58</v>
      </c>
      <c r="D468" s="13" t="s">
        <v>0</v>
      </c>
      <c r="E468" s="13" t="s">
        <v>51</v>
      </c>
      <c r="F468" s="14"/>
      <c r="G468" s="149">
        <f>SUM(G469:G471)</f>
        <v>66994.900000000009</v>
      </c>
    </row>
    <row r="469" spans="1:7" s="95" customFormat="1" ht="47.25" customHeight="1" x14ac:dyDescent="0.25">
      <c r="A469" s="29" t="s">
        <v>114</v>
      </c>
      <c r="B469" s="13" t="s">
        <v>16</v>
      </c>
      <c r="C469" s="13" t="s">
        <v>58</v>
      </c>
      <c r="D469" s="13" t="s">
        <v>0</v>
      </c>
      <c r="E469" s="13" t="s">
        <v>51</v>
      </c>
      <c r="F469" s="14" t="s">
        <v>19</v>
      </c>
      <c r="G469" s="149">
        <v>58476.5</v>
      </c>
    </row>
    <row r="470" spans="1:7" s="95" customFormat="1" ht="31.5" customHeight="1" x14ac:dyDescent="0.25">
      <c r="A470" s="29" t="s">
        <v>115</v>
      </c>
      <c r="B470" s="13" t="s">
        <v>16</v>
      </c>
      <c r="C470" s="13" t="s">
        <v>58</v>
      </c>
      <c r="D470" s="13" t="s">
        <v>0</v>
      </c>
      <c r="E470" s="13" t="s">
        <v>51</v>
      </c>
      <c r="F470" s="14" t="s">
        <v>20</v>
      </c>
      <c r="G470" s="149">
        <f>9159-2474.4+256.8-272.3+1461.7</f>
        <v>8130.8</v>
      </c>
    </row>
    <row r="471" spans="1:7" s="95" customFormat="1" ht="18" customHeight="1" x14ac:dyDescent="0.25">
      <c r="A471" s="29" t="s">
        <v>21</v>
      </c>
      <c r="B471" s="13" t="s">
        <v>16</v>
      </c>
      <c r="C471" s="13" t="s">
        <v>58</v>
      </c>
      <c r="D471" s="13" t="s">
        <v>0</v>
      </c>
      <c r="E471" s="13" t="s">
        <v>51</v>
      </c>
      <c r="F471" s="14" t="s">
        <v>22</v>
      </c>
      <c r="G471" s="149">
        <v>387.6</v>
      </c>
    </row>
    <row r="472" spans="1:7" s="95" customFormat="1" ht="18" customHeight="1" x14ac:dyDescent="0.25">
      <c r="A472" s="31" t="s">
        <v>540</v>
      </c>
      <c r="B472" s="13" t="s">
        <v>16</v>
      </c>
      <c r="C472" s="13" t="s">
        <v>58</v>
      </c>
      <c r="D472" s="13" t="s">
        <v>0</v>
      </c>
      <c r="E472" s="13" t="s">
        <v>79</v>
      </c>
      <c r="F472" s="14"/>
      <c r="G472" s="149">
        <f>SUM(G473:G473)</f>
        <v>1000</v>
      </c>
    </row>
    <row r="473" spans="1:7" s="95" customFormat="1" ht="31.5" customHeight="1" x14ac:dyDescent="0.25">
      <c r="A473" s="29" t="s">
        <v>115</v>
      </c>
      <c r="B473" s="13" t="s">
        <v>16</v>
      </c>
      <c r="C473" s="13" t="s">
        <v>58</v>
      </c>
      <c r="D473" s="13" t="s">
        <v>0</v>
      </c>
      <c r="E473" s="13" t="s">
        <v>79</v>
      </c>
      <c r="F473" s="14" t="s">
        <v>20</v>
      </c>
      <c r="G473" s="149">
        <v>1000</v>
      </c>
    </row>
    <row r="474" spans="1:7" s="95" customFormat="1" ht="47.25" customHeight="1" x14ac:dyDescent="0.25">
      <c r="A474" s="29" t="s">
        <v>549</v>
      </c>
      <c r="B474" s="13" t="s">
        <v>16</v>
      </c>
      <c r="C474" s="13" t="s">
        <v>58</v>
      </c>
      <c r="D474" s="13" t="s">
        <v>0</v>
      </c>
      <c r="E474" s="13" t="s">
        <v>130</v>
      </c>
      <c r="F474" s="14"/>
      <c r="G474" s="149">
        <f>G475</f>
        <v>5956.7</v>
      </c>
    </row>
    <row r="475" spans="1:7" s="95" customFormat="1" ht="31.5" customHeight="1" x14ac:dyDescent="0.25">
      <c r="A475" s="29" t="s">
        <v>115</v>
      </c>
      <c r="B475" s="13" t="s">
        <v>16</v>
      </c>
      <c r="C475" s="13" t="s">
        <v>58</v>
      </c>
      <c r="D475" s="13" t="s">
        <v>0</v>
      </c>
      <c r="E475" s="13" t="s">
        <v>130</v>
      </c>
      <c r="F475" s="14" t="s">
        <v>20</v>
      </c>
      <c r="G475" s="149">
        <f>8500-2543.3</f>
        <v>5956.7</v>
      </c>
    </row>
    <row r="476" spans="1:7" s="95" customFormat="1" ht="37.200000000000003" customHeight="1" x14ac:dyDescent="0.25">
      <c r="A476" s="29" t="s">
        <v>650</v>
      </c>
      <c r="B476" s="13" t="s">
        <v>16</v>
      </c>
      <c r="C476" s="13" t="s">
        <v>58</v>
      </c>
      <c r="D476" s="13" t="s">
        <v>0</v>
      </c>
      <c r="E476" s="13" t="s">
        <v>148</v>
      </c>
      <c r="F476" s="14"/>
      <c r="G476" s="149">
        <f>G477</f>
        <v>192</v>
      </c>
    </row>
    <row r="477" spans="1:7" s="95" customFormat="1" ht="31.5" customHeight="1" x14ac:dyDescent="0.25">
      <c r="A477" s="29" t="s">
        <v>115</v>
      </c>
      <c r="B477" s="13" t="s">
        <v>16</v>
      </c>
      <c r="C477" s="13" t="s">
        <v>58</v>
      </c>
      <c r="D477" s="13" t="s">
        <v>0</v>
      </c>
      <c r="E477" s="13" t="s">
        <v>148</v>
      </c>
      <c r="F477" s="14" t="s">
        <v>20</v>
      </c>
      <c r="G477" s="149">
        <v>192</v>
      </c>
    </row>
    <row r="478" spans="1:7" s="95" customFormat="1" ht="47.25" customHeight="1" x14ac:dyDescent="0.25">
      <c r="A478" s="31" t="s">
        <v>429</v>
      </c>
      <c r="B478" s="13" t="s">
        <v>16</v>
      </c>
      <c r="C478" s="13" t="s">
        <v>58</v>
      </c>
      <c r="D478" s="13" t="s">
        <v>1</v>
      </c>
      <c r="E478" s="13"/>
      <c r="F478" s="14"/>
      <c r="G478" s="149">
        <f>SUM(G479+G483+G485)</f>
        <v>8849.5999999999985</v>
      </c>
    </row>
    <row r="479" spans="1:7" s="95" customFormat="1" ht="18" customHeight="1" x14ac:dyDescent="0.25">
      <c r="A479" s="31" t="s">
        <v>26</v>
      </c>
      <c r="B479" s="13" t="s">
        <v>16</v>
      </c>
      <c r="C479" s="13" t="s">
        <v>58</v>
      </c>
      <c r="D479" s="13" t="s">
        <v>1</v>
      </c>
      <c r="E479" s="13" t="s">
        <v>41</v>
      </c>
      <c r="F479" s="14"/>
      <c r="G479" s="149">
        <f>SUM(G480:G482)</f>
        <v>8528.5</v>
      </c>
    </row>
    <row r="480" spans="1:7" s="95" customFormat="1" ht="47.25" customHeight="1" x14ac:dyDescent="0.25">
      <c r="A480" s="29" t="s">
        <v>114</v>
      </c>
      <c r="B480" s="13" t="s">
        <v>16</v>
      </c>
      <c r="C480" s="13" t="s">
        <v>58</v>
      </c>
      <c r="D480" s="13" t="s">
        <v>1</v>
      </c>
      <c r="E480" s="13" t="s">
        <v>41</v>
      </c>
      <c r="F480" s="14" t="s">
        <v>19</v>
      </c>
      <c r="G480" s="149">
        <v>8405.1</v>
      </c>
    </row>
    <row r="481" spans="1:7" s="95" customFormat="1" ht="31.5" customHeight="1" x14ac:dyDescent="0.25">
      <c r="A481" s="29" t="s">
        <v>115</v>
      </c>
      <c r="B481" s="13" t="s">
        <v>16</v>
      </c>
      <c r="C481" s="13" t="s">
        <v>58</v>
      </c>
      <c r="D481" s="13" t="s">
        <v>1</v>
      </c>
      <c r="E481" s="13" t="s">
        <v>41</v>
      </c>
      <c r="F481" s="14" t="s">
        <v>20</v>
      </c>
      <c r="G481" s="149">
        <v>121.4</v>
      </c>
    </row>
    <row r="482" spans="1:7" s="95" customFormat="1" ht="18" customHeight="1" x14ac:dyDescent="0.25">
      <c r="A482" s="29" t="s">
        <v>21</v>
      </c>
      <c r="B482" s="13" t="s">
        <v>16</v>
      </c>
      <c r="C482" s="13" t="s">
        <v>58</v>
      </c>
      <c r="D482" s="13" t="s">
        <v>1</v>
      </c>
      <c r="E482" s="13" t="s">
        <v>41</v>
      </c>
      <c r="F482" s="14" t="s">
        <v>22</v>
      </c>
      <c r="G482" s="149">
        <v>2</v>
      </c>
    </row>
    <row r="483" spans="1:7" s="95" customFormat="1" ht="18" customHeight="1" x14ac:dyDescent="0.25">
      <c r="A483" s="29" t="s">
        <v>228</v>
      </c>
      <c r="B483" s="13" t="s">
        <v>16</v>
      </c>
      <c r="C483" s="25">
        <v>1</v>
      </c>
      <c r="D483" s="13" t="s">
        <v>1</v>
      </c>
      <c r="E483" s="13" t="s">
        <v>229</v>
      </c>
      <c r="F483" s="13"/>
      <c r="G483" s="149">
        <f>SUM(G484)</f>
        <v>28.3</v>
      </c>
    </row>
    <row r="484" spans="1:7" s="95" customFormat="1" ht="31.5" customHeight="1" x14ac:dyDescent="0.25">
      <c r="A484" s="29" t="s">
        <v>115</v>
      </c>
      <c r="B484" s="13" t="s">
        <v>16</v>
      </c>
      <c r="C484" s="25">
        <v>1</v>
      </c>
      <c r="D484" s="13" t="s">
        <v>1</v>
      </c>
      <c r="E484" s="13" t="s">
        <v>229</v>
      </c>
      <c r="F484" s="13" t="s">
        <v>20</v>
      </c>
      <c r="G484" s="149">
        <v>28.3</v>
      </c>
    </row>
    <row r="485" spans="1:7" s="95" customFormat="1" ht="18" customHeight="1" x14ac:dyDescent="0.25">
      <c r="A485" s="29" t="s">
        <v>234</v>
      </c>
      <c r="B485" s="13" t="s">
        <v>16</v>
      </c>
      <c r="C485" s="13" t="s">
        <v>58</v>
      </c>
      <c r="D485" s="13" t="s">
        <v>1</v>
      </c>
      <c r="E485" s="13" t="s">
        <v>235</v>
      </c>
      <c r="F485" s="14"/>
      <c r="G485" s="149">
        <f>SUM(G486)</f>
        <v>292.8</v>
      </c>
    </row>
    <row r="486" spans="1:7" s="95" customFormat="1" ht="31.5" customHeight="1" x14ac:dyDescent="0.25">
      <c r="A486" s="29" t="s">
        <v>115</v>
      </c>
      <c r="B486" s="13" t="s">
        <v>16</v>
      </c>
      <c r="C486" s="13" t="s">
        <v>58</v>
      </c>
      <c r="D486" s="13" t="s">
        <v>1</v>
      </c>
      <c r="E486" s="13" t="s">
        <v>235</v>
      </c>
      <c r="F486" s="14" t="s">
        <v>20</v>
      </c>
      <c r="G486" s="149">
        <v>292.8</v>
      </c>
    </row>
    <row r="487" spans="1:7" s="95" customFormat="1" ht="18" customHeight="1" x14ac:dyDescent="0.25">
      <c r="A487" s="31" t="s">
        <v>161</v>
      </c>
      <c r="B487" s="13" t="s">
        <v>16</v>
      </c>
      <c r="C487" s="13" t="s">
        <v>93</v>
      </c>
      <c r="D487" s="13"/>
      <c r="E487" s="13"/>
      <c r="F487" s="14"/>
      <c r="G487" s="149">
        <f>SUM(G488+G492)</f>
        <v>26206.699999999997</v>
      </c>
    </row>
    <row r="488" spans="1:7" s="95" customFormat="1" ht="47.25" customHeight="1" x14ac:dyDescent="0.25">
      <c r="A488" s="31" t="s">
        <v>533</v>
      </c>
      <c r="B488" s="13" t="s">
        <v>16</v>
      </c>
      <c r="C488" s="13" t="s">
        <v>93</v>
      </c>
      <c r="D488" s="13" t="s">
        <v>0</v>
      </c>
      <c r="E488" s="13"/>
      <c r="F488" s="14"/>
      <c r="G488" s="149">
        <f>SUM(G489)</f>
        <v>12183</v>
      </c>
    </row>
    <row r="489" spans="1:7" s="95" customFormat="1" ht="47.25" customHeight="1" x14ac:dyDescent="0.25">
      <c r="A489" s="31" t="s">
        <v>28</v>
      </c>
      <c r="B489" s="13" t="s">
        <v>16</v>
      </c>
      <c r="C489" s="13" t="s">
        <v>93</v>
      </c>
      <c r="D489" s="13" t="s">
        <v>0</v>
      </c>
      <c r="E489" s="13" t="s">
        <v>51</v>
      </c>
      <c r="F489" s="14"/>
      <c r="G489" s="149">
        <f>SUM(G490:G491)</f>
        <v>12183</v>
      </c>
    </row>
    <row r="490" spans="1:7" s="95" customFormat="1" ht="47.25" customHeight="1" x14ac:dyDescent="0.25">
      <c r="A490" s="29" t="s">
        <v>114</v>
      </c>
      <c r="B490" s="13" t="s">
        <v>16</v>
      </c>
      <c r="C490" s="13" t="s">
        <v>93</v>
      </c>
      <c r="D490" s="13" t="s">
        <v>0</v>
      </c>
      <c r="E490" s="13" t="s">
        <v>51</v>
      </c>
      <c r="F490" s="14" t="s">
        <v>19</v>
      </c>
      <c r="G490" s="149">
        <v>10827.5</v>
      </c>
    </row>
    <row r="491" spans="1:7" s="95" customFormat="1" ht="31.5" customHeight="1" x14ac:dyDescent="0.25">
      <c r="A491" s="29" t="s">
        <v>115</v>
      </c>
      <c r="B491" s="13" t="s">
        <v>16</v>
      </c>
      <c r="C491" s="13" t="s">
        <v>93</v>
      </c>
      <c r="D491" s="13" t="s">
        <v>0</v>
      </c>
      <c r="E491" s="13" t="s">
        <v>51</v>
      </c>
      <c r="F491" s="14" t="s">
        <v>20</v>
      </c>
      <c r="G491" s="149">
        <f>1307.9+15.5+32.1</f>
        <v>1355.5</v>
      </c>
    </row>
    <row r="492" spans="1:7" s="95" customFormat="1" ht="24" customHeight="1" x14ac:dyDescent="0.25">
      <c r="A492" s="29" t="s">
        <v>240</v>
      </c>
      <c r="B492" s="13" t="s">
        <v>16</v>
      </c>
      <c r="C492" s="13" t="s">
        <v>93</v>
      </c>
      <c r="D492" s="13" t="s">
        <v>1</v>
      </c>
      <c r="E492" s="13"/>
      <c r="F492" s="14"/>
      <c r="G492" s="149">
        <f>G493</f>
        <v>14023.699999999999</v>
      </c>
    </row>
    <row r="493" spans="1:7" s="95" customFormat="1" ht="24" customHeight="1" x14ac:dyDescent="0.25">
      <c r="A493" s="29" t="s">
        <v>550</v>
      </c>
      <c r="B493" s="13" t="s">
        <v>16</v>
      </c>
      <c r="C493" s="13" t="s">
        <v>93</v>
      </c>
      <c r="D493" s="13" t="s">
        <v>1</v>
      </c>
      <c r="E493" s="13" t="s">
        <v>239</v>
      </c>
      <c r="F493" s="14"/>
      <c r="G493" s="149">
        <f>G494+G495</f>
        <v>14023.699999999999</v>
      </c>
    </row>
    <row r="494" spans="1:7" s="95" customFormat="1" ht="31.5" customHeight="1" x14ac:dyDescent="0.25">
      <c r="A494" s="29" t="s">
        <v>115</v>
      </c>
      <c r="B494" s="13" t="s">
        <v>16</v>
      </c>
      <c r="C494" s="13" t="s">
        <v>93</v>
      </c>
      <c r="D494" s="13" t="s">
        <v>1</v>
      </c>
      <c r="E494" s="13" t="s">
        <v>239</v>
      </c>
      <c r="F494" s="14" t="s">
        <v>20</v>
      </c>
      <c r="G494" s="149">
        <v>463.3</v>
      </c>
    </row>
    <row r="495" spans="1:7" s="95" customFormat="1" ht="31.5" customHeight="1" x14ac:dyDescent="0.25">
      <c r="A495" s="30" t="s">
        <v>116</v>
      </c>
      <c r="B495" s="13" t="s">
        <v>16</v>
      </c>
      <c r="C495" s="13" t="s">
        <v>93</v>
      </c>
      <c r="D495" s="13" t="s">
        <v>1</v>
      </c>
      <c r="E495" s="13" t="s">
        <v>239</v>
      </c>
      <c r="F495" s="14" t="s">
        <v>111</v>
      </c>
      <c r="G495" s="149">
        <v>13560.4</v>
      </c>
    </row>
    <row r="496" spans="1:7" s="95" customFormat="1" ht="18" customHeight="1" x14ac:dyDescent="0.25">
      <c r="A496" s="31" t="s">
        <v>162</v>
      </c>
      <c r="B496" s="13" t="s">
        <v>16</v>
      </c>
      <c r="C496" s="13" t="s">
        <v>101</v>
      </c>
      <c r="D496" s="13"/>
      <c r="E496" s="13"/>
      <c r="F496" s="14"/>
      <c r="G496" s="149">
        <f>SUM(G497)</f>
        <v>35188.9</v>
      </c>
    </row>
    <row r="497" spans="1:7" s="95" customFormat="1" ht="78.75" customHeight="1" x14ac:dyDescent="0.25">
      <c r="A497" s="32" t="s">
        <v>81</v>
      </c>
      <c r="B497" s="13" t="s">
        <v>16</v>
      </c>
      <c r="C497" s="13" t="s">
        <v>101</v>
      </c>
      <c r="D497" s="13" t="s">
        <v>0</v>
      </c>
      <c r="E497" s="13"/>
      <c r="F497" s="14"/>
      <c r="G497" s="149">
        <f>SUM(G498)</f>
        <v>35188.9</v>
      </c>
    </row>
    <row r="498" spans="1:7" s="95" customFormat="1" ht="47.25" customHeight="1" x14ac:dyDescent="0.25">
      <c r="A498" s="31" t="s">
        <v>28</v>
      </c>
      <c r="B498" s="13" t="s">
        <v>16</v>
      </c>
      <c r="C498" s="13" t="s">
        <v>101</v>
      </c>
      <c r="D498" s="13" t="s">
        <v>0</v>
      </c>
      <c r="E498" s="13" t="s">
        <v>51</v>
      </c>
      <c r="F498" s="14"/>
      <c r="G498" s="149">
        <f>SUM(G499:G501)</f>
        <v>35188.9</v>
      </c>
    </row>
    <row r="499" spans="1:7" s="95" customFormat="1" ht="47.25" customHeight="1" x14ac:dyDescent="0.25">
      <c r="A499" s="29" t="s">
        <v>114</v>
      </c>
      <c r="B499" s="13" t="s">
        <v>16</v>
      </c>
      <c r="C499" s="13" t="s">
        <v>101</v>
      </c>
      <c r="D499" s="13" t="s">
        <v>0</v>
      </c>
      <c r="E499" s="13" t="s">
        <v>51</v>
      </c>
      <c r="F499" s="14" t="s">
        <v>19</v>
      </c>
      <c r="G499" s="149">
        <v>28692.2</v>
      </c>
    </row>
    <row r="500" spans="1:7" s="95" customFormat="1" ht="31.5" customHeight="1" x14ac:dyDescent="0.25">
      <c r="A500" s="29" t="s">
        <v>115</v>
      </c>
      <c r="B500" s="13" t="s">
        <v>16</v>
      </c>
      <c r="C500" s="13" t="s">
        <v>101</v>
      </c>
      <c r="D500" s="13" t="s">
        <v>0</v>
      </c>
      <c r="E500" s="13" t="s">
        <v>51</v>
      </c>
      <c r="F500" s="14" t="s">
        <v>20</v>
      </c>
      <c r="G500" s="149">
        <f>1171.3+1766.1+2474.4-272.3+2815.6-1493.8</f>
        <v>6461.2999999999984</v>
      </c>
    </row>
    <row r="501" spans="1:7" s="95" customFormat="1" ht="18" customHeight="1" x14ac:dyDescent="0.25">
      <c r="A501" s="29" t="s">
        <v>21</v>
      </c>
      <c r="B501" s="13" t="s">
        <v>16</v>
      </c>
      <c r="C501" s="13" t="s">
        <v>101</v>
      </c>
      <c r="D501" s="13" t="s">
        <v>0</v>
      </c>
      <c r="E501" s="13" t="s">
        <v>51</v>
      </c>
      <c r="F501" s="14" t="s">
        <v>22</v>
      </c>
      <c r="G501" s="149">
        <v>35.4</v>
      </c>
    </row>
    <row r="502" spans="1:7" s="95" customFormat="1" ht="36" customHeight="1" x14ac:dyDescent="0.25">
      <c r="A502" s="29" t="s">
        <v>707</v>
      </c>
      <c r="B502" s="13" t="s">
        <v>16</v>
      </c>
      <c r="C502" s="13" t="s">
        <v>139</v>
      </c>
      <c r="D502" s="13"/>
      <c r="E502" s="13"/>
      <c r="F502" s="14"/>
      <c r="G502" s="149">
        <f>G503</f>
        <v>183064.3</v>
      </c>
    </row>
    <row r="503" spans="1:7" s="95" customFormat="1" ht="31.5" customHeight="1" x14ac:dyDescent="0.25">
      <c r="A503" s="29" t="s">
        <v>708</v>
      </c>
      <c r="B503" s="13" t="s">
        <v>16</v>
      </c>
      <c r="C503" s="13" t="s">
        <v>139</v>
      </c>
      <c r="D503" s="13" t="s">
        <v>0</v>
      </c>
      <c r="E503" s="13"/>
      <c r="F503" s="14"/>
      <c r="G503" s="149">
        <f>G504+G507</f>
        <v>183064.3</v>
      </c>
    </row>
    <row r="504" spans="1:7" s="95" customFormat="1" ht="47.25" customHeight="1" x14ac:dyDescent="0.25">
      <c r="A504" s="29" t="s">
        <v>709</v>
      </c>
      <c r="B504" s="13" t="s">
        <v>16</v>
      </c>
      <c r="C504" s="13" t="s">
        <v>139</v>
      </c>
      <c r="D504" s="13" t="s">
        <v>0</v>
      </c>
      <c r="E504" s="13" t="s">
        <v>140</v>
      </c>
      <c r="F504" s="14"/>
      <c r="G504" s="149">
        <f>G506+G505</f>
        <v>179156.9</v>
      </c>
    </row>
    <row r="505" spans="1:7" s="95" customFormat="1" ht="31.5" customHeight="1" x14ac:dyDescent="0.25">
      <c r="A505" s="29" t="s">
        <v>115</v>
      </c>
      <c r="B505" s="13" t="s">
        <v>16</v>
      </c>
      <c r="C505" s="13" t="s">
        <v>139</v>
      </c>
      <c r="D505" s="13" t="s">
        <v>0</v>
      </c>
      <c r="E505" s="13" t="s">
        <v>140</v>
      </c>
      <c r="F505" s="14" t="s">
        <v>20</v>
      </c>
      <c r="G505" s="149">
        <f>7754.3+151.8+7747.9</f>
        <v>15654</v>
      </c>
    </row>
    <row r="506" spans="1:7" s="95" customFormat="1" ht="31.5" customHeight="1" x14ac:dyDescent="0.25">
      <c r="A506" s="30" t="s">
        <v>116</v>
      </c>
      <c r="B506" s="13" t="s">
        <v>16</v>
      </c>
      <c r="C506" s="13" t="s">
        <v>139</v>
      </c>
      <c r="D506" s="13" t="s">
        <v>0</v>
      </c>
      <c r="E506" s="13" t="s">
        <v>140</v>
      </c>
      <c r="F506" s="14" t="s">
        <v>111</v>
      </c>
      <c r="G506" s="149">
        <f>24469.7+27863.1+5098.7+2872+4200.9+765.9+7364.8-907.4+23794.1+566.5+24760.9+2303.9+5098.7+8508.7+65.2+9257.8+981.3+593.3+2864.1+4217.2+763.8+7999.7</f>
        <v>163502.9</v>
      </c>
    </row>
    <row r="507" spans="1:7" s="95" customFormat="1" ht="22.5" customHeight="1" x14ac:dyDescent="0.25">
      <c r="A507" s="126" t="s">
        <v>645</v>
      </c>
      <c r="B507" s="13" t="s">
        <v>16</v>
      </c>
      <c r="C507" s="13" t="s">
        <v>139</v>
      </c>
      <c r="D507" s="13" t="s">
        <v>0</v>
      </c>
      <c r="E507" s="13" t="s">
        <v>644</v>
      </c>
      <c r="F507" s="14"/>
      <c r="G507" s="149">
        <f>G508</f>
        <v>3907.4</v>
      </c>
    </row>
    <row r="508" spans="1:7" s="95" customFormat="1" ht="31.5" customHeight="1" x14ac:dyDescent="0.25">
      <c r="A508" s="126" t="s">
        <v>116</v>
      </c>
      <c r="B508" s="13" t="s">
        <v>16</v>
      </c>
      <c r="C508" s="13" t="s">
        <v>139</v>
      </c>
      <c r="D508" s="13" t="s">
        <v>0</v>
      </c>
      <c r="E508" s="13" t="s">
        <v>644</v>
      </c>
      <c r="F508" s="14" t="s">
        <v>111</v>
      </c>
      <c r="G508" s="149">
        <v>3907.4</v>
      </c>
    </row>
    <row r="509" spans="1:7" s="95" customFormat="1" ht="21.75" customHeight="1" x14ac:dyDescent="0.25">
      <c r="A509" s="76" t="s">
        <v>610</v>
      </c>
      <c r="B509" s="13" t="s">
        <v>606</v>
      </c>
      <c r="C509" s="13"/>
      <c r="D509" s="13"/>
      <c r="E509" s="13"/>
      <c r="F509" s="13"/>
      <c r="G509" s="149">
        <f t="shared" ref="G509:G512" si="1">SUM(G510)</f>
        <v>11091.1</v>
      </c>
    </row>
    <row r="510" spans="1:7" s="95" customFormat="1" ht="21.75" customHeight="1" x14ac:dyDescent="0.25">
      <c r="A510" s="76" t="s">
        <v>611</v>
      </c>
      <c r="B510" s="13" t="s">
        <v>606</v>
      </c>
      <c r="C510" s="13" t="s">
        <v>58</v>
      </c>
      <c r="D510" s="13"/>
      <c r="E510" s="13"/>
      <c r="F510" s="13"/>
      <c r="G510" s="149">
        <f t="shared" si="1"/>
        <v>11091.1</v>
      </c>
    </row>
    <row r="511" spans="1:7" s="95" customFormat="1" ht="31.5" customHeight="1" x14ac:dyDescent="0.25">
      <c r="A511" s="76" t="s">
        <v>612</v>
      </c>
      <c r="B511" s="13" t="s">
        <v>606</v>
      </c>
      <c r="C511" s="13" t="s">
        <v>58</v>
      </c>
      <c r="D511" s="13" t="s">
        <v>0</v>
      </c>
      <c r="E511" s="13"/>
      <c r="F511" s="13"/>
      <c r="G511" s="149">
        <f t="shared" si="1"/>
        <v>11091.1</v>
      </c>
    </row>
    <row r="512" spans="1:7" s="95" customFormat="1" ht="31.5" customHeight="1" x14ac:dyDescent="0.25">
      <c r="A512" s="76" t="s">
        <v>613</v>
      </c>
      <c r="B512" s="13" t="s">
        <v>606</v>
      </c>
      <c r="C512" s="13" t="s">
        <v>58</v>
      </c>
      <c r="D512" s="13" t="s">
        <v>0</v>
      </c>
      <c r="E512" s="13" t="s">
        <v>67</v>
      </c>
      <c r="F512" s="13"/>
      <c r="G512" s="149">
        <f t="shared" si="1"/>
        <v>11091.1</v>
      </c>
    </row>
    <row r="513" spans="1:7" s="95" customFormat="1" ht="31.5" customHeight="1" x14ac:dyDescent="0.25">
      <c r="A513" s="73" t="s">
        <v>115</v>
      </c>
      <c r="B513" s="13" t="s">
        <v>606</v>
      </c>
      <c r="C513" s="13" t="s">
        <v>58</v>
      </c>
      <c r="D513" s="13" t="s">
        <v>0</v>
      </c>
      <c r="E513" s="13" t="s">
        <v>67</v>
      </c>
      <c r="F513" s="13" t="s">
        <v>20</v>
      </c>
      <c r="G513" s="149">
        <v>11091.1</v>
      </c>
    </row>
    <row r="514" spans="1:7" s="95" customFormat="1" ht="18" customHeight="1" x14ac:dyDescent="0.25">
      <c r="A514" s="31" t="s">
        <v>163</v>
      </c>
      <c r="B514" s="13" t="s">
        <v>60</v>
      </c>
      <c r="C514" s="13"/>
      <c r="D514" s="13"/>
      <c r="E514" s="13"/>
      <c r="F514" s="14"/>
      <c r="G514" s="149">
        <f>SUM(G515)</f>
        <v>173054.3</v>
      </c>
    </row>
    <row r="515" spans="1:7" s="95" customFormat="1" ht="47.25" customHeight="1" x14ac:dyDescent="0.25">
      <c r="A515" s="31" t="s">
        <v>456</v>
      </c>
      <c r="B515" s="13" t="s">
        <v>60</v>
      </c>
      <c r="C515" s="13" t="s">
        <v>58</v>
      </c>
      <c r="D515" s="13"/>
      <c r="E515" s="13"/>
      <c r="F515" s="14"/>
      <c r="G515" s="149">
        <f>SUM(G516+G519+G527+G533)</f>
        <v>173054.3</v>
      </c>
    </row>
    <row r="516" spans="1:7" s="95" customFormat="1" ht="18" customHeight="1" x14ac:dyDescent="0.25">
      <c r="A516" s="31" t="s">
        <v>541</v>
      </c>
      <c r="B516" s="13" t="s">
        <v>60</v>
      </c>
      <c r="C516" s="13" t="s">
        <v>58</v>
      </c>
      <c r="D516" s="13" t="s">
        <v>0</v>
      </c>
      <c r="E516" s="13"/>
      <c r="F516" s="14"/>
      <c r="G516" s="149">
        <f>SUM(G517)</f>
        <v>42570.9</v>
      </c>
    </row>
    <row r="517" spans="1:7" s="95" customFormat="1" ht="47.25" customHeight="1" x14ac:dyDescent="0.25">
      <c r="A517" s="31" t="s">
        <v>28</v>
      </c>
      <c r="B517" s="13" t="s">
        <v>60</v>
      </c>
      <c r="C517" s="13" t="s">
        <v>58</v>
      </c>
      <c r="D517" s="13" t="s">
        <v>0</v>
      </c>
      <c r="E517" s="13" t="s">
        <v>51</v>
      </c>
      <c r="F517" s="14"/>
      <c r="G517" s="149">
        <f>SUM(G518:G518)</f>
        <v>42570.9</v>
      </c>
    </row>
    <row r="518" spans="1:7" s="95" customFormat="1" ht="31.5" customHeight="1" x14ac:dyDescent="0.25">
      <c r="A518" s="30" t="s">
        <v>116</v>
      </c>
      <c r="B518" s="13" t="s">
        <v>60</v>
      </c>
      <c r="C518" s="13" t="s">
        <v>58</v>
      </c>
      <c r="D518" s="13" t="s">
        <v>0</v>
      </c>
      <c r="E518" s="13" t="s">
        <v>51</v>
      </c>
      <c r="F518" s="14" t="s">
        <v>111</v>
      </c>
      <c r="G518" s="149">
        <v>42570.9</v>
      </c>
    </row>
    <row r="519" spans="1:7" s="95" customFormat="1" ht="47.25" customHeight="1" x14ac:dyDescent="0.25">
      <c r="A519" s="31" t="s">
        <v>449</v>
      </c>
      <c r="B519" s="13" t="s">
        <v>60</v>
      </c>
      <c r="C519" s="13" t="s">
        <v>58</v>
      </c>
      <c r="D519" s="13" t="s">
        <v>1</v>
      </c>
      <c r="E519" s="13"/>
      <c r="F519" s="14"/>
      <c r="G519" s="149">
        <f>SUM(G520+G523+G525)</f>
        <v>19185.300000000003</v>
      </c>
    </row>
    <row r="520" spans="1:7" s="95" customFormat="1" ht="18" customHeight="1" x14ac:dyDescent="0.25">
      <c r="A520" s="31" t="s">
        <v>26</v>
      </c>
      <c r="B520" s="13" t="s">
        <v>60</v>
      </c>
      <c r="C520" s="13" t="s">
        <v>58</v>
      </c>
      <c r="D520" s="13" t="s">
        <v>1</v>
      </c>
      <c r="E520" s="13" t="s">
        <v>41</v>
      </c>
      <c r="F520" s="14"/>
      <c r="G520" s="149">
        <f>SUM(G521:G522)</f>
        <v>19083.800000000003</v>
      </c>
    </row>
    <row r="521" spans="1:7" s="95" customFormat="1" ht="47.25" customHeight="1" x14ac:dyDescent="0.25">
      <c r="A521" s="29" t="s">
        <v>114</v>
      </c>
      <c r="B521" s="13" t="s">
        <v>60</v>
      </c>
      <c r="C521" s="13" t="s">
        <v>58</v>
      </c>
      <c r="D521" s="13" t="s">
        <v>1</v>
      </c>
      <c r="E521" s="13" t="s">
        <v>41</v>
      </c>
      <c r="F521" s="14" t="s">
        <v>19</v>
      </c>
      <c r="G521" s="149">
        <v>18957.400000000001</v>
      </c>
    </row>
    <row r="522" spans="1:7" s="95" customFormat="1" ht="31.5" customHeight="1" x14ac:dyDescent="0.25">
      <c r="A522" s="29" t="s">
        <v>115</v>
      </c>
      <c r="B522" s="13" t="s">
        <v>60</v>
      </c>
      <c r="C522" s="13" t="s">
        <v>58</v>
      </c>
      <c r="D522" s="13" t="s">
        <v>1</v>
      </c>
      <c r="E522" s="13" t="s">
        <v>41</v>
      </c>
      <c r="F522" s="14" t="s">
        <v>20</v>
      </c>
      <c r="G522" s="149">
        <v>126.4</v>
      </c>
    </row>
    <row r="523" spans="1:7" s="95" customFormat="1" ht="18" customHeight="1" x14ac:dyDescent="0.25">
      <c r="A523" s="29" t="s">
        <v>228</v>
      </c>
      <c r="B523" s="13" t="s">
        <v>60</v>
      </c>
      <c r="C523" s="25">
        <v>1</v>
      </c>
      <c r="D523" s="13" t="s">
        <v>1</v>
      </c>
      <c r="E523" s="13" t="s">
        <v>229</v>
      </c>
      <c r="F523" s="13"/>
      <c r="G523" s="149">
        <f>SUM(G524)</f>
        <v>70</v>
      </c>
    </row>
    <row r="524" spans="1:7" s="95" customFormat="1" ht="31.5" customHeight="1" x14ac:dyDescent="0.25">
      <c r="A524" s="29" t="s">
        <v>115</v>
      </c>
      <c r="B524" s="13" t="s">
        <v>60</v>
      </c>
      <c r="C524" s="25">
        <v>1</v>
      </c>
      <c r="D524" s="13" t="s">
        <v>1</v>
      </c>
      <c r="E524" s="13" t="s">
        <v>229</v>
      </c>
      <c r="F524" s="13" t="s">
        <v>20</v>
      </c>
      <c r="G524" s="149">
        <v>70</v>
      </c>
    </row>
    <row r="525" spans="1:7" s="95" customFormat="1" ht="18" customHeight="1" x14ac:dyDescent="0.25">
      <c r="A525" s="29" t="s">
        <v>234</v>
      </c>
      <c r="B525" s="13" t="s">
        <v>60</v>
      </c>
      <c r="C525" s="13" t="s">
        <v>58</v>
      </c>
      <c r="D525" s="13" t="s">
        <v>1</v>
      </c>
      <c r="E525" s="13" t="s">
        <v>235</v>
      </c>
      <c r="F525" s="14"/>
      <c r="G525" s="149">
        <f>SUM(G526)</f>
        <v>31.5</v>
      </c>
    </row>
    <row r="526" spans="1:7" s="95" customFormat="1" ht="31.5" customHeight="1" x14ac:dyDescent="0.25">
      <c r="A526" s="29" t="s">
        <v>115</v>
      </c>
      <c r="B526" s="13" t="s">
        <v>60</v>
      </c>
      <c r="C526" s="13" t="s">
        <v>58</v>
      </c>
      <c r="D526" s="13" t="s">
        <v>1</v>
      </c>
      <c r="E526" s="13" t="s">
        <v>235</v>
      </c>
      <c r="F526" s="14" t="s">
        <v>20</v>
      </c>
      <c r="G526" s="149">
        <v>31.5</v>
      </c>
    </row>
    <row r="527" spans="1:7" s="95" customFormat="1" ht="31.5" customHeight="1" x14ac:dyDescent="0.25">
      <c r="A527" s="31" t="s">
        <v>413</v>
      </c>
      <c r="B527" s="13" t="s">
        <v>60</v>
      </c>
      <c r="C527" s="13" t="s">
        <v>58</v>
      </c>
      <c r="D527" s="13" t="s">
        <v>2</v>
      </c>
      <c r="E527" s="13"/>
      <c r="F527" s="14"/>
      <c r="G527" s="149">
        <f>SUM(G528+G531)</f>
        <v>10471.300000000001</v>
      </c>
    </row>
    <row r="528" spans="1:7" s="95" customFormat="1" ht="31.5" customHeight="1" x14ac:dyDescent="0.25">
      <c r="A528" s="31" t="s">
        <v>165</v>
      </c>
      <c r="B528" s="13" t="s">
        <v>60</v>
      </c>
      <c r="C528" s="13" t="s">
        <v>58</v>
      </c>
      <c r="D528" s="13" t="s">
        <v>2</v>
      </c>
      <c r="E528" s="13" t="s">
        <v>82</v>
      </c>
      <c r="F528" s="14"/>
      <c r="G528" s="149">
        <f>SUM(G529:G530)</f>
        <v>8684.2000000000007</v>
      </c>
    </row>
    <row r="529" spans="1:7" s="95" customFormat="1" ht="31.5" customHeight="1" x14ac:dyDescent="0.25">
      <c r="A529" s="29" t="s">
        <v>115</v>
      </c>
      <c r="B529" s="13" t="s">
        <v>60</v>
      </c>
      <c r="C529" s="13" t="s">
        <v>58</v>
      </c>
      <c r="D529" s="13" t="s">
        <v>2</v>
      </c>
      <c r="E529" s="13" t="s">
        <v>82</v>
      </c>
      <c r="F529" s="14" t="s">
        <v>20</v>
      </c>
      <c r="G529" s="149">
        <f>1500+900+3537.1-1787.1+4524.2</f>
        <v>8674.2000000000007</v>
      </c>
    </row>
    <row r="530" spans="1:7" s="95" customFormat="1" ht="18" customHeight="1" x14ac:dyDescent="0.25">
      <c r="A530" s="29" t="s">
        <v>21</v>
      </c>
      <c r="B530" s="13" t="s">
        <v>60</v>
      </c>
      <c r="C530" s="13" t="s">
        <v>58</v>
      </c>
      <c r="D530" s="13" t="s">
        <v>2</v>
      </c>
      <c r="E530" s="13" t="s">
        <v>82</v>
      </c>
      <c r="F530" s="14" t="s">
        <v>22</v>
      </c>
      <c r="G530" s="149">
        <v>10</v>
      </c>
    </row>
    <row r="531" spans="1:7" s="95" customFormat="1" ht="18" customHeight="1" x14ac:dyDescent="0.25">
      <c r="A531" s="73" t="s">
        <v>647</v>
      </c>
      <c r="B531" s="13" t="s">
        <v>60</v>
      </c>
      <c r="C531" s="13" t="s">
        <v>58</v>
      </c>
      <c r="D531" s="13" t="s">
        <v>2</v>
      </c>
      <c r="E531" s="13" t="s">
        <v>646</v>
      </c>
      <c r="F531" s="14"/>
      <c r="G531" s="149">
        <f>G532</f>
        <v>1787.1</v>
      </c>
    </row>
    <row r="532" spans="1:7" s="95" customFormat="1" ht="33.75" customHeight="1" x14ac:dyDescent="0.25">
      <c r="A532" s="73" t="s">
        <v>115</v>
      </c>
      <c r="B532" s="13" t="s">
        <v>60</v>
      </c>
      <c r="C532" s="13" t="s">
        <v>58</v>
      </c>
      <c r="D532" s="13" t="s">
        <v>2</v>
      </c>
      <c r="E532" s="13" t="s">
        <v>646</v>
      </c>
      <c r="F532" s="14" t="s">
        <v>20</v>
      </c>
      <c r="G532" s="149">
        <v>1787.1</v>
      </c>
    </row>
    <row r="533" spans="1:7" s="95" customFormat="1" ht="31.5" customHeight="1" x14ac:dyDescent="0.25">
      <c r="A533" s="31" t="s">
        <v>205</v>
      </c>
      <c r="B533" s="13" t="s">
        <v>60</v>
      </c>
      <c r="C533" s="13" t="s">
        <v>58</v>
      </c>
      <c r="D533" s="13" t="s">
        <v>3</v>
      </c>
      <c r="E533" s="13"/>
      <c r="F533" s="13"/>
      <c r="G533" s="149">
        <f>SUM(G534)</f>
        <v>100826.8</v>
      </c>
    </row>
    <row r="534" spans="1:7" s="95" customFormat="1" ht="48" customHeight="1" x14ac:dyDescent="0.25">
      <c r="A534" s="29" t="s">
        <v>347</v>
      </c>
      <c r="B534" s="13" t="s">
        <v>60</v>
      </c>
      <c r="C534" s="13" t="s">
        <v>58</v>
      </c>
      <c r="D534" s="13" t="s">
        <v>3</v>
      </c>
      <c r="E534" s="13" t="s">
        <v>315</v>
      </c>
      <c r="F534" s="13"/>
      <c r="G534" s="149">
        <f>SUM(G535:G536)</f>
        <v>100826.8</v>
      </c>
    </row>
    <row r="535" spans="1:7" s="95" customFormat="1" ht="31.5" customHeight="1" x14ac:dyDescent="0.25">
      <c r="A535" s="29" t="s">
        <v>115</v>
      </c>
      <c r="B535" s="13" t="s">
        <v>60</v>
      </c>
      <c r="C535" s="13" t="s">
        <v>58</v>
      </c>
      <c r="D535" s="13" t="s">
        <v>3</v>
      </c>
      <c r="E535" s="13" t="s">
        <v>315</v>
      </c>
      <c r="F535" s="13" t="s">
        <v>20</v>
      </c>
      <c r="G535" s="149">
        <v>97.5</v>
      </c>
    </row>
    <row r="536" spans="1:7" s="95" customFormat="1" ht="22.5" customHeight="1" x14ac:dyDescent="0.25">
      <c r="A536" s="29" t="s">
        <v>118</v>
      </c>
      <c r="B536" s="13" t="s">
        <v>60</v>
      </c>
      <c r="C536" s="13" t="s">
        <v>58</v>
      </c>
      <c r="D536" s="13" t="s">
        <v>3</v>
      </c>
      <c r="E536" s="13" t="s">
        <v>315</v>
      </c>
      <c r="F536" s="13" t="s">
        <v>119</v>
      </c>
      <c r="G536" s="149">
        <v>100729.3</v>
      </c>
    </row>
    <row r="537" spans="1:7" s="95" customFormat="1" ht="18" customHeight="1" x14ac:dyDescent="0.25">
      <c r="A537" s="31" t="s">
        <v>393</v>
      </c>
      <c r="B537" s="13" t="s">
        <v>57</v>
      </c>
      <c r="C537" s="13"/>
      <c r="D537" s="13"/>
      <c r="E537" s="13"/>
      <c r="F537" s="14"/>
      <c r="G537" s="149">
        <f>SUM(G538+G542+G546)</f>
        <v>40954.500000000007</v>
      </c>
    </row>
    <row r="538" spans="1:7" s="95" customFormat="1" ht="18" customHeight="1" x14ac:dyDescent="0.25">
      <c r="A538" s="31" t="s">
        <v>394</v>
      </c>
      <c r="B538" s="13" t="s">
        <v>57</v>
      </c>
      <c r="C538" s="13" t="s">
        <v>58</v>
      </c>
      <c r="D538" s="13"/>
      <c r="E538" s="13"/>
      <c r="F538" s="14"/>
      <c r="G538" s="149">
        <f>SUM(G539)</f>
        <v>794.4</v>
      </c>
    </row>
    <row r="539" spans="1:7" s="95" customFormat="1" ht="49.95" customHeight="1" x14ac:dyDescent="0.25">
      <c r="A539" s="31" t="s">
        <v>395</v>
      </c>
      <c r="B539" s="13" t="s">
        <v>57</v>
      </c>
      <c r="C539" s="13" t="s">
        <v>58</v>
      </c>
      <c r="D539" s="13" t="s">
        <v>0</v>
      </c>
      <c r="E539" s="13"/>
      <c r="F539" s="14"/>
      <c r="G539" s="149">
        <f>SUM(G540)</f>
        <v>794.4</v>
      </c>
    </row>
    <row r="540" spans="1:7" s="95" customFormat="1" ht="31.5" customHeight="1" x14ac:dyDescent="0.25">
      <c r="A540" s="31" t="s">
        <v>542</v>
      </c>
      <c r="B540" s="13" t="s">
        <v>57</v>
      </c>
      <c r="C540" s="13" t="s">
        <v>58</v>
      </c>
      <c r="D540" s="13" t="s">
        <v>0</v>
      </c>
      <c r="E540" s="13" t="s">
        <v>61</v>
      </c>
      <c r="F540" s="14"/>
      <c r="G540" s="149">
        <f>SUM(G541:G541)</f>
        <v>794.4</v>
      </c>
    </row>
    <row r="541" spans="1:7" s="95" customFormat="1" ht="31.5" customHeight="1" x14ac:dyDescent="0.25">
      <c r="A541" s="29" t="s">
        <v>115</v>
      </c>
      <c r="B541" s="13" t="s">
        <v>57</v>
      </c>
      <c r="C541" s="13" t="s">
        <v>58</v>
      </c>
      <c r="D541" s="13" t="s">
        <v>0</v>
      </c>
      <c r="E541" s="13" t="s">
        <v>61</v>
      </c>
      <c r="F541" s="14" t="s">
        <v>20</v>
      </c>
      <c r="G541" s="149">
        <f>550+244.4</f>
        <v>794.4</v>
      </c>
    </row>
    <row r="542" spans="1:7" s="95" customFormat="1" ht="18" customHeight="1" x14ac:dyDescent="0.25">
      <c r="A542" s="31" t="s">
        <v>166</v>
      </c>
      <c r="B542" s="13" t="s">
        <v>57</v>
      </c>
      <c r="C542" s="13" t="s">
        <v>93</v>
      </c>
      <c r="D542" s="13"/>
      <c r="E542" s="13"/>
      <c r="F542" s="14"/>
      <c r="G542" s="149">
        <f>SUM(G543)</f>
        <v>39097.800000000003</v>
      </c>
    </row>
    <row r="543" spans="1:7" s="95" customFormat="1" ht="31.5" customHeight="1" x14ac:dyDescent="0.25">
      <c r="A543" s="29" t="s">
        <v>62</v>
      </c>
      <c r="B543" s="13" t="s">
        <v>57</v>
      </c>
      <c r="C543" s="13" t="s">
        <v>93</v>
      </c>
      <c r="D543" s="13" t="s">
        <v>0</v>
      </c>
      <c r="E543" s="13"/>
      <c r="F543" s="14"/>
      <c r="G543" s="149">
        <f>SUM(G544)</f>
        <v>39097.800000000003</v>
      </c>
    </row>
    <row r="544" spans="1:7" s="95" customFormat="1" ht="18" customHeight="1" x14ac:dyDescent="0.25">
      <c r="A544" s="31" t="s">
        <v>176</v>
      </c>
      <c r="B544" s="13" t="s">
        <v>57</v>
      </c>
      <c r="C544" s="13">
        <v>2</v>
      </c>
      <c r="D544" s="13" t="s">
        <v>0</v>
      </c>
      <c r="E544" s="13" t="s">
        <v>177</v>
      </c>
      <c r="F544" s="14"/>
      <c r="G544" s="149">
        <f>SUM(G545:G545)</f>
        <v>39097.800000000003</v>
      </c>
    </row>
    <row r="545" spans="1:7" s="95" customFormat="1" ht="18" customHeight="1" x14ac:dyDescent="0.25">
      <c r="A545" s="30" t="s">
        <v>117</v>
      </c>
      <c r="B545" s="13" t="s">
        <v>57</v>
      </c>
      <c r="C545" s="13">
        <v>2</v>
      </c>
      <c r="D545" s="13" t="s">
        <v>0</v>
      </c>
      <c r="E545" s="13" t="s">
        <v>177</v>
      </c>
      <c r="F545" s="14" t="s">
        <v>109</v>
      </c>
      <c r="G545" s="149">
        <v>39097.800000000003</v>
      </c>
    </row>
    <row r="546" spans="1:7" s="95" customFormat="1" ht="47.25" customHeight="1" x14ac:dyDescent="0.25">
      <c r="A546" s="29" t="s">
        <v>435</v>
      </c>
      <c r="B546" s="13" t="s">
        <v>57</v>
      </c>
      <c r="C546" s="13" t="s">
        <v>139</v>
      </c>
      <c r="D546" s="13"/>
      <c r="E546" s="13"/>
      <c r="F546" s="14"/>
      <c r="G546" s="149">
        <f>G547</f>
        <v>1062.3</v>
      </c>
    </row>
    <row r="547" spans="1:7" s="95" customFormat="1" ht="47.25" customHeight="1" x14ac:dyDescent="0.25">
      <c r="A547" s="29" t="s">
        <v>437</v>
      </c>
      <c r="B547" s="13" t="s">
        <v>57</v>
      </c>
      <c r="C547" s="13" t="s">
        <v>139</v>
      </c>
      <c r="D547" s="13" t="s">
        <v>0</v>
      </c>
      <c r="E547" s="13"/>
      <c r="F547" s="14"/>
      <c r="G547" s="149">
        <f>G548</f>
        <v>1062.3</v>
      </c>
    </row>
    <row r="548" spans="1:7" s="95" customFormat="1" ht="47.25" customHeight="1" x14ac:dyDescent="0.25">
      <c r="A548" s="29" t="s">
        <v>436</v>
      </c>
      <c r="B548" s="13" t="s">
        <v>57</v>
      </c>
      <c r="C548" s="13" t="s">
        <v>139</v>
      </c>
      <c r="D548" s="13" t="s">
        <v>0</v>
      </c>
      <c r="E548" s="13" t="s">
        <v>195</v>
      </c>
      <c r="F548" s="14"/>
      <c r="G548" s="149">
        <f>G549</f>
        <v>1062.3</v>
      </c>
    </row>
    <row r="549" spans="1:7" s="95" customFormat="1" ht="31.5" customHeight="1" x14ac:dyDescent="0.25">
      <c r="A549" s="29" t="s">
        <v>115</v>
      </c>
      <c r="B549" s="13" t="s">
        <v>57</v>
      </c>
      <c r="C549" s="13" t="s">
        <v>139</v>
      </c>
      <c r="D549" s="13" t="s">
        <v>0</v>
      </c>
      <c r="E549" s="13" t="s">
        <v>195</v>
      </c>
      <c r="F549" s="14" t="s">
        <v>20</v>
      </c>
      <c r="G549" s="149">
        <v>1062.3</v>
      </c>
    </row>
    <row r="550" spans="1:7" s="95" customFormat="1" ht="18" customHeight="1" x14ac:dyDescent="0.25">
      <c r="A550" s="30" t="s">
        <v>401</v>
      </c>
      <c r="B550" s="13" t="s">
        <v>53</v>
      </c>
      <c r="C550" s="13"/>
      <c r="D550" s="13"/>
      <c r="E550" s="13"/>
      <c r="F550" s="14"/>
      <c r="G550" s="149">
        <f>SUM(G551)</f>
        <v>155.9</v>
      </c>
    </row>
    <row r="551" spans="1:7" s="95" customFormat="1" ht="18" customHeight="1" x14ac:dyDescent="0.25">
      <c r="A551" s="30" t="s">
        <v>402</v>
      </c>
      <c r="B551" s="13" t="s">
        <v>53</v>
      </c>
      <c r="C551" s="13" t="s">
        <v>58</v>
      </c>
      <c r="D551" s="13"/>
      <c r="E551" s="13"/>
      <c r="F551" s="14"/>
      <c r="G551" s="149">
        <f>SUM(G552)</f>
        <v>155.9</v>
      </c>
    </row>
    <row r="552" spans="1:7" s="95" customFormat="1" ht="33.75" customHeight="1" x14ac:dyDescent="0.25">
      <c r="A552" s="30" t="s">
        <v>52</v>
      </c>
      <c r="B552" s="13" t="s">
        <v>53</v>
      </c>
      <c r="C552" s="13" t="s">
        <v>58</v>
      </c>
      <c r="D552" s="13" t="s">
        <v>0</v>
      </c>
      <c r="E552" s="13"/>
      <c r="F552" s="14"/>
      <c r="G552" s="149">
        <f>SUM(G553)</f>
        <v>155.9</v>
      </c>
    </row>
    <row r="553" spans="1:7" s="95" customFormat="1" ht="18" customHeight="1" x14ac:dyDescent="0.25">
      <c r="A553" s="30" t="s">
        <v>403</v>
      </c>
      <c r="B553" s="13" t="s">
        <v>53</v>
      </c>
      <c r="C553" s="13" t="s">
        <v>58</v>
      </c>
      <c r="D553" s="13" t="s">
        <v>0</v>
      </c>
      <c r="E553" s="13" t="s">
        <v>263</v>
      </c>
      <c r="F553" s="14"/>
      <c r="G553" s="149">
        <f>G555+G554</f>
        <v>155.9</v>
      </c>
    </row>
    <row r="554" spans="1:7" s="95" customFormat="1" ht="33.6" customHeight="1" x14ac:dyDescent="0.25">
      <c r="A554" s="148" t="s">
        <v>115</v>
      </c>
      <c r="B554" s="143" t="s">
        <v>53</v>
      </c>
      <c r="C554" s="143" t="s">
        <v>58</v>
      </c>
      <c r="D554" s="143" t="s">
        <v>0</v>
      </c>
      <c r="E554" s="143" t="s">
        <v>263</v>
      </c>
      <c r="F554" s="135" t="s">
        <v>20</v>
      </c>
      <c r="G554" s="149">
        <v>155.9</v>
      </c>
    </row>
    <row r="555" spans="1:7" s="95" customFormat="1" ht="31.5" customHeight="1" x14ac:dyDescent="0.25">
      <c r="A555" s="30" t="s">
        <v>116</v>
      </c>
      <c r="B555" s="13" t="s">
        <v>53</v>
      </c>
      <c r="C555" s="13" t="s">
        <v>58</v>
      </c>
      <c r="D555" s="13" t="s">
        <v>0</v>
      </c>
      <c r="E555" s="13" t="s">
        <v>263</v>
      </c>
      <c r="F555" s="14" t="s">
        <v>111</v>
      </c>
      <c r="G555" s="149">
        <f>155.9-155.9</f>
        <v>0</v>
      </c>
    </row>
    <row r="556" spans="1:7" s="95" customFormat="1" ht="18" customHeight="1" x14ac:dyDescent="0.25">
      <c r="A556" s="31" t="s">
        <v>404</v>
      </c>
      <c r="B556" s="13" t="s">
        <v>48</v>
      </c>
      <c r="C556" s="13"/>
      <c r="D556" s="13"/>
      <c r="E556" s="13"/>
      <c r="F556" s="13"/>
      <c r="G556" s="149">
        <f>SUM(G557+G561)</f>
        <v>18177.3</v>
      </c>
    </row>
    <row r="557" spans="1:7" s="95" customFormat="1" ht="50.25" customHeight="1" x14ac:dyDescent="0.25">
      <c r="A557" s="31" t="s">
        <v>439</v>
      </c>
      <c r="B557" s="13" t="s">
        <v>48</v>
      </c>
      <c r="C557" s="13" t="s">
        <v>58</v>
      </c>
      <c r="D557" s="13"/>
      <c r="E557" s="13"/>
      <c r="F557" s="13"/>
      <c r="G557" s="149">
        <f>SUM(G558)</f>
        <v>14107.1</v>
      </c>
    </row>
    <row r="558" spans="1:7" s="95" customFormat="1" ht="31.5" customHeight="1" x14ac:dyDescent="0.25">
      <c r="A558" s="31" t="s">
        <v>405</v>
      </c>
      <c r="B558" s="13" t="s">
        <v>48</v>
      </c>
      <c r="C558" s="13" t="s">
        <v>58</v>
      </c>
      <c r="D558" s="13" t="s">
        <v>0</v>
      </c>
      <c r="E558" s="13"/>
      <c r="F558" s="13"/>
      <c r="G558" s="149">
        <f>SUM(G559)</f>
        <v>14107.1</v>
      </c>
    </row>
    <row r="559" spans="1:7" s="95" customFormat="1" ht="31.5" customHeight="1" x14ac:dyDescent="0.25">
      <c r="A559" s="31" t="s">
        <v>406</v>
      </c>
      <c r="B559" s="13" t="s">
        <v>48</v>
      </c>
      <c r="C559" s="13" t="s">
        <v>58</v>
      </c>
      <c r="D559" s="13" t="s">
        <v>0</v>
      </c>
      <c r="E559" s="13" t="s">
        <v>49</v>
      </c>
      <c r="F559" s="14"/>
      <c r="G559" s="149">
        <f>SUM(G560:G560)</f>
        <v>14107.1</v>
      </c>
    </row>
    <row r="560" spans="1:7" s="95" customFormat="1" ht="31.5" customHeight="1" x14ac:dyDescent="0.25">
      <c r="A560" s="30" t="s">
        <v>116</v>
      </c>
      <c r="B560" s="13" t="s">
        <v>48</v>
      </c>
      <c r="C560" s="13" t="s">
        <v>58</v>
      </c>
      <c r="D560" s="13" t="s">
        <v>0</v>
      </c>
      <c r="E560" s="13" t="s">
        <v>49</v>
      </c>
      <c r="F560" s="14" t="s">
        <v>111</v>
      </c>
      <c r="G560" s="149">
        <f>8145.1-167+6129</f>
        <v>14107.1</v>
      </c>
    </row>
    <row r="561" spans="1:7" s="95" customFormat="1" ht="47.25" customHeight="1" x14ac:dyDescent="0.25">
      <c r="A561" s="31" t="s">
        <v>440</v>
      </c>
      <c r="B561" s="13" t="s">
        <v>126</v>
      </c>
      <c r="C561" s="13" t="s">
        <v>93</v>
      </c>
      <c r="D561" s="13"/>
      <c r="E561" s="13"/>
      <c r="F561" s="14"/>
      <c r="G561" s="149">
        <f>G562</f>
        <v>4070.2</v>
      </c>
    </row>
    <row r="562" spans="1:7" s="95" customFormat="1" ht="34.950000000000003" customHeight="1" x14ac:dyDescent="0.25">
      <c r="A562" s="31" t="s">
        <v>128</v>
      </c>
      <c r="B562" s="13" t="s">
        <v>48</v>
      </c>
      <c r="C562" s="13" t="s">
        <v>93</v>
      </c>
      <c r="D562" s="13" t="s">
        <v>0</v>
      </c>
      <c r="E562" s="13"/>
      <c r="F562" s="14"/>
      <c r="G562" s="149">
        <f>G565+G568+G563</f>
        <v>4070.2</v>
      </c>
    </row>
    <row r="563" spans="1:7" s="95" customFormat="1" ht="34.950000000000003" customHeight="1" x14ac:dyDescent="0.25">
      <c r="A563" s="31" t="s">
        <v>581</v>
      </c>
      <c r="B563" s="13" t="s">
        <v>48</v>
      </c>
      <c r="C563" s="13" t="s">
        <v>93</v>
      </c>
      <c r="D563" s="13" t="s">
        <v>0</v>
      </c>
      <c r="E563" s="13" t="s">
        <v>281</v>
      </c>
      <c r="F563" s="14"/>
      <c r="G563" s="149">
        <f>G564</f>
        <v>947.3</v>
      </c>
    </row>
    <row r="564" spans="1:7" s="95" customFormat="1" ht="34.950000000000003" customHeight="1" x14ac:dyDescent="0.25">
      <c r="A564" s="29" t="s">
        <v>115</v>
      </c>
      <c r="B564" s="13" t="s">
        <v>48</v>
      </c>
      <c r="C564" s="13" t="s">
        <v>93</v>
      </c>
      <c r="D564" s="13" t="s">
        <v>0</v>
      </c>
      <c r="E564" s="13" t="s">
        <v>281</v>
      </c>
      <c r="F564" s="14" t="s">
        <v>20</v>
      </c>
      <c r="G564" s="149">
        <f>315.3+947.3-315.3</f>
        <v>947.3</v>
      </c>
    </row>
    <row r="565" spans="1:7" s="95" customFormat="1" ht="31.5" customHeight="1" x14ac:dyDescent="0.25">
      <c r="A565" s="31" t="s">
        <v>129</v>
      </c>
      <c r="B565" s="13" t="s">
        <v>48</v>
      </c>
      <c r="C565" s="13" t="s">
        <v>93</v>
      </c>
      <c r="D565" s="13" t="s">
        <v>0</v>
      </c>
      <c r="E565" s="13" t="s">
        <v>127</v>
      </c>
      <c r="F565" s="14"/>
      <c r="G565" s="149">
        <f>SUM(G566:G567)</f>
        <v>2877.9</v>
      </c>
    </row>
    <row r="566" spans="1:7" s="95" customFormat="1" ht="47.25" customHeight="1" x14ac:dyDescent="0.25">
      <c r="A566" s="31" t="s">
        <v>114</v>
      </c>
      <c r="B566" s="13" t="s">
        <v>48</v>
      </c>
      <c r="C566" s="13" t="s">
        <v>93</v>
      </c>
      <c r="D566" s="13" t="s">
        <v>0</v>
      </c>
      <c r="E566" s="13" t="s">
        <v>127</v>
      </c>
      <c r="F566" s="14" t="s">
        <v>19</v>
      </c>
      <c r="G566" s="149">
        <f>750+750</f>
        <v>1500</v>
      </c>
    </row>
    <row r="567" spans="1:7" s="95" customFormat="1" ht="31.5" customHeight="1" x14ac:dyDescent="0.25">
      <c r="A567" s="29" t="s">
        <v>115</v>
      </c>
      <c r="B567" s="13" t="s">
        <v>48</v>
      </c>
      <c r="C567" s="13" t="s">
        <v>93</v>
      </c>
      <c r="D567" s="13" t="s">
        <v>0</v>
      </c>
      <c r="E567" s="13" t="s">
        <v>127</v>
      </c>
      <c r="F567" s="14" t="s">
        <v>20</v>
      </c>
      <c r="G567" s="149">
        <f>560+264.1+71.5+315.3+167</f>
        <v>1377.9</v>
      </c>
    </row>
    <row r="568" spans="1:7" s="95" customFormat="1" ht="31.5" customHeight="1" x14ac:dyDescent="0.25">
      <c r="A568" s="29" t="s">
        <v>267</v>
      </c>
      <c r="B568" s="13" t="s">
        <v>48</v>
      </c>
      <c r="C568" s="13" t="s">
        <v>93</v>
      </c>
      <c r="D568" s="13" t="s">
        <v>0</v>
      </c>
      <c r="E568" s="13" t="s">
        <v>266</v>
      </c>
      <c r="F568" s="14"/>
      <c r="G568" s="149">
        <f>G569</f>
        <v>245</v>
      </c>
    </row>
    <row r="569" spans="1:7" s="95" customFormat="1" ht="31.5" customHeight="1" x14ac:dyDescent="0.25">
      <c r="A569" s="29" t="s">
        <v>115</v>
      </c>
      <c r="B569" s="13" t="s">
        <v>48</v>
      </c>
      <c r="C569" s="13" t="s">
        <v>93</v>
      </c>
      <c r="D569" s="13" t="s">
        <v>0</v>
      </c>
      <c r="E569" s="13" t="s">
        <v>266</v>
      </c>
      <c r="F569" s="14" t="s">
        <v>20</v>
      </c>
      <c r="G569" s="149">
        <f>30+42.5+172.5</f>
        <v>245</v>
      </c>
    </row>
    <row r="570" spans="1:7" s="95" customFormat="1" ht="31.5" customHeight="1" x14ac:dyDescent="0.25">
      <c r="A570" s="31" t="s">
        <v>407</v>
      </c>
      <c r="B570" s="13" t="s">
        <v>68</v>
      </c>
      <c r="C570" s="13"/>
      <c r="D570" s="13"/>
      <c r="E570" s="13"/>
      <c r="F570" s="14"/>
      <c r="G570" s="149">
        <f>SUM(G571)</f>
        <v>145118.9</v>
      </c>
    </row>
    <row r="571" spans="1:7" s="95" customFormat="1" ht="31.5" customHeight="1" x14ac:dyDescent="0.25">
      <c r="A571" s="31" t="s">
        <v>408</v>
      </c>
      <c r="B571" s="13" t="s">
        <v>68</v>
      </c>
      <c r="C571" s="13" t="s">
        <v>58</v>
      </c>
      <c r="D571" s="13"/>
      <c r="E571" s="13"/>
      <c r="F571" s="13"/>
      <c r="G571" s="149">
        <f>G572+G577+G580</f>
        <v>145118.9</v>
      </c>
    </row>
    <row r="572" spans="1:7" s="95" customFormat="1" ht="31.5" customHeight="1" x14ac:dyDescent="0.25">
      <c r="A572" s="29" t="s">
        <v>167</v>
      </c>
      <c r="B572" s="13" t="s">
        <v>68</v>
      </c>
      <c r="C572" s="13" t="s">
        <v>58</v>
      </c>
      <c r="D572" s="13" t="s">
        <v>0</v>
      </c>
      <c r="E572" s="13"/>
      <c r="F572" s="13"/>
      <c r="G572" s="149">
        <f>SUM(G573+G575)</f>
        <v>33460.5</v>
      </c>
    </row>
    <row r="573" spans="1:7" s="95" customFormat="1" ht="31.5" customHeight="1" x14ac:dyDescent="0.25">
      <c r="A573" s="31" t="s">
        <v>409</v>
      </c>
      <c r="B573" s="13" t="s">
        <v>68</v>
      </c>
      <c r="C573" s="13" t="s">
        <v>58</v>
      </c>
      <c r="D573" s="13" t="s">
        <v>0</v>
      </c>
      <c r="E573" s="13" t="s">
        <v>69</v>
      </c>
      <c r="F573" s="13"/>
      <c r="G573" s="149">
        <f>SUM(G574:G574)</f>
        <v>31743.800000000003</v>
      </c>
    </row>
    <row r="574" spans="1:7" s="95" customFormat="1" ht="18" customHeight="1" x14ac:dyDescent="0.25">
      <c r="A574" s="29" t="s">
        <v>117</v>
      </c>
      <c r="B574" s="13" t="s">
        <v>68</v>
      </c>
      <c r="C574" s="13" t="s">
        <v>58</v>
      </c>
      <c r="D574" s="13" t="s">
        <v>0</v>
      </c>
      <c r="E574" s="13" t="s">
        <v>69</v>
      </c>
      <c r="F574" s="13" t="s">
        <v>109</v>
      </c>
      <c r="G574" s="149">
        <f>21223.8+3000+4500+3000+1069.6-1049.6</f>
        <v>31743.800000000003</v>
      </c>
    </row>
    <row r="575" spans="1:7" s="95" customFormat="1" ht="31.5" customHeight="1" x14ac:dyDescent="0.25">
      <c r="A575" s="29" t="s">
        <v>594</v>
      </c>
      <c r="B575" s="13" t="s">
        <v>68</v>
      </c>
      <c r="C575" s="13" t="s">
        <v>58</v>
      </c>
      <c r="D575" s="13" t="s">
        <v>0</v>
      </c>
      <c r="E575" s="13" t="s">
        <v>593</v>
      </c>
      <c r="F575" s="13"/>
      <c r="G575" s="149">
        <f>G576</f>
        <v>1716.7</v>
      </c>
    </row>
    <row r="576" spans="1:7" s="95" customFormat="1" ht="18" customHeight="1" x14ac:dyDescent="0.25">
      <c r="A576" s="29" t="s">
        <v>117</v>
      </c>
      <c r="B576" s="13" t="s">
        <v>68</v>
      </c>
      <c r="C576" s="13" t="s">
        <v>58</v>
      </c>
      <c r="D576" s="13" t="s">
        <v>0</v>
      </c>
      <c r="E576" s="13" t="s">
        <v>593</v>
      </c>
      <c r="F576" s="13" t="s">
        <v>109</v>
      </c>
      <c r="G576" s="149">
        <v>1716.7</v>
      </c>
    </row>
    <row r="577" spans="1:7" s="95" customFormat="1" ht="81.75" customHeight="1" x14ac:dyDescent="0.25">
      <c r="A577" s="29" t="s">
        <v>443</v>
      </c>
      <c r="B577" s="13" t="s">
        <v>68</v>
      </c>
      <c r="C577" s="13" t="s">
        <v>58</v>
      </c>
      <c r="D577" s="13" t="s">
        <v>1</v>
      </c>
      <c r="E577" s="13"/>
      <c r="F577" s="13"/>
      <c r="G577" s="149">
        <f>G578</f>
        <v>110278.39999999999</v>
      </c>
    </row>
    <row r="578" spans="1:7" s="95" customFormat="1" ht="78.75" customHeight="1" x14ac:dyDescent="0.25">
      <c r="A578" s="29" t="s">
        <v>410</v>
      </c>
      <c r="B578" s="13" t="s">
        <v>68</v>
      </c>
      <c r="C578" s="13" t="s">
        <v>58</v>
      </c>
      <c r="D578" s="13" t="s">
        <v>1</v>
      </c>
      <c r="E578" s="13" t="s">
        <v>361</v>
      </c>
      <c r="F578" s="13"/>
      <c r="G578" s="149">
        <f>G579</f>
        <v>110278.39999999999</v>
      </c>
    </row>
    <row r="579" spans="1:7" s="95" customFormat="1" ht="18" customHeight="1" x14ac:dyDescent="0.25">
      <c r="A579" s="29" t="s">
        <v>117</v>
      </c>
      <c r="B579" s="13" t="s">
        <v>68</v>
      </c>
      <c r="C579" s="13" t="s">
        <v>58</v>
      </c>
      <c r="D579" s="13" t="s">
        <v>1</v>
      </c>
      <c r="E579" s="13" t="s">
        <v>361</v>
      </c>
      <c r="F579" s="13" t="s">
        <v>109</v>
      </c>
      <c r="G579" s="149">
        <f>57139.2+53139.2</f>
        <v>110278.39999999999</v>
      </c>
    </row>
    <row r="580" spans="1:7" s="95" customFormat="1" ht="31.5" customHeight="1" x14ac:dyDescent="0.25">
      <c r="A580" s="29" t="s">
        <v>360</v>
      </c>
      <c r="B580" s="13" t="s">
        <v>68</v>
      </c>
      <c r="C580" s="13" t="s">
        <v>58</v>
      </c>
      <c r="D580" s="13" t="s">
        <v>2</v>
      </c>
      <c r="E580" s="13"/>
      <c r="F580" s="13"/>
      <c r="G580" s="149">
        <f>G581</f>
        <v>1380</v>
      </c>
    </row>
    <row r="581" spans="1:7" s="95" customFormat="1" ht="63" customHeight="1" x14ac:dyDescent="0.25">
      <c r="A581" s="29" t="s">
        <v>411</v>
      </c>
      <c r="B581" s="13" t="s">
        <v>68</v>
      </c>
      <c r="C581" s="13" t="s">
        <v>58</v>
      </c>
      <c r="D581" s="13" t="s">
        <v>2</v>
      </c>
      <c r="E581" s="13" t="s">
        <v>359</v>
      </c>
      <c r="F581" s="13"/>
      <c r="G581" s="149">
        <f>G582</f>
        <v>1380</v>
      </c>
    </row>
    <row r="582" spans="1:7" s="95" customFormat="1" ht="18" customHeight="1" x14ac:dyDescent="0.25">
      <c r="A582" s="30" t="s">
        <v>117</v>
      </c>
      <c r="B582" s="13" t="s">
        <v>68</v>
      </c>
      <c r="C582" s="13" t="s">
        <v>58</v>
      </c>
      <c r="D582" s="13" t="s">
        <v>2</v>
      </c>
      <c r="E582" s="13" t="s">
        <v>359</v>
      </c>
      <c r="F582" s="13" t="s">
        <v>109</v>
      </c>
      <c r="G582" s="149">
        <v>1380</v>
      </c>
    </row>
    <row r="583" spans="1:7" s="95" customFormat="1" ht="31.5" customHeight="1" x14ac:dyDescent="0.25">
      <c r="A583" s="29" t="s">
        <v>412</v>
      </c>
      <c r="B583" s="13" t="s">
        <v>122</v>
      </c>
      <c r="C583" s="13"/>
      <c r="D583" s="13"/>
      <c r="E583" s="13"/>
      <c r="F583" s="13"/>
      <c r="G583" s="149">
        <f>SUM(G584)</f>
        <v>23328.2</v>
      </c>
    </row>
    <row r="584" spans="1:7" s="95" customFormat="1" ht="31.5" customHeight="1" x14ac:dyDescent="0.25">
      <c r="A584" s="29" t="s">
        <v>415</v>
      </c>
      <c r="B584" s="13" t="s">
        <v>122</v>
      </c>
      <c r="C584" s="13" t="s">
        <v>58</v>
      </c>
      <c r="D584" s="13"/>
      <c r="E584" s="13"/>
      <c r="F584" s="13"/>
      <c r="G584" s="149">
        <f>SUM(G585+G596+G599+G602)</f>
        <v>23328.2</v>
      </c>
    </row>
    <row r="585" spans="1:7" s="95" customFormat="1" ht="47.25" customHeight="1" x14ac:dyDescent="0.25">
      <c r="A585" s="29" t="s">
        <v>448</v>
      </c>
      <c r="B585" s="13" t="s">
        <v>122</v>
      </c>
      <c r="C585" s="13" t="s">
        <v>58</v>
      </c>
      <c r="D585" s="13" t="s">
        <v>0</v>
      </c>
      <c r="E585" s="13"/>
      <c r="F585" s="13"/>
      <c r="G585" s="149">
        <f>SUM(G586+G590+G592+G594)</f>
        <v>11098.300000000001</v>
      </c>
    </row>
    <row r="586" spans="1:7" s="95" customFormat="1" ht="16.95" customHeight="1" x14ac:dyDescent="0.25">
      <c r="A586" s="31" t="s">
        <v>17</v>
      </c>
      <c r="B586" s="13" t="s">
        <v>122</v>
      </c>
      <c r="C586" s="13" t="s">
        <v>58</v>
      </c>
      <c r="D586" s="13" t="s">
        <v>0</v>
      </c>
      <c r="E586" s="13" t="s">
        <v>41</v>
      </c>
      <c r="F586" s="13"/>
      <c r="G586" s="149">
        <f>SUM(G587:G589)</f>
        <v>10983.9</v>
      </c>
    </row>
    <row r="587" spans="1:7" s="95" customFormat="1" ht="47.25" customHeight="1" x14ac:dyDescent="0.25">
      <c r="A587" s="29" t="s">
        <v>114</v>
      </c>
      <c r="B587" s="13" t="s">
        <v>122</v>
      </c>
      <c r="C587" s="13" t="s">
        <v>58</v>
      </c>
      <c r="D587" s="13" t="s">
        <v>0</v>
      </c>
      <c r="E587" s="13" t="s">
        <v>41</v>
      </c>
      <c r="F587" s="13" t="s">
        <v>19</v>
      </c>
      <c r="G587" s="149">
        <v>10766</v>
      </c>
    </row>
    <row r="588" spans="1:7" s="95" customFormat="1" ht="31.5" customHeight="1" x14ac:dyDescent="0.25">
      <c r="A588" s="29" t="s">
        <v>115</v>
      </c>
      <c r="B588" s="13" t="s">
        <v>122</v>
      </c>
      <c r="C588" s="13" t="s">
        <v>58</v>
      </c>
      <c r="D588" s="13" t="s">
        <v>0</v>
      </c>
      <c r="E588" s="13" t="s">
        <v>41</v>
      </c>
      <c r="F588" s="13" t="s">
        <v>20</v>
      </c>
      <c r="G588" s="149">
        <f>203.7+6.2</f>
        <v>209.89999999999998</v>
      </c>
    </row>
    <row r="589" spans="1:7" s="95" customFormat="1" ht="18" customHeight="1" x14ac:dyDescent="0.25">
      <c r="A589" s="29" t="s">
        <v>21</v>
      </c>
      <c r="B589" s="13" t="s">
        <v>122</v>
      </c>
      <c r="C589" s="13" t="s">
        <v>58</v>
      </c>
      <c r="D589" s="13" t="s">
        <v>0</v>
      </c>
      <c r="E589" s="13" t="s">
        <v>41</v>
      </c>
      <c r="F589" s="13" t="s">
        <v>22</v>
      </c>
      <c r="G589" s="149">
        <v>8</v>
      </c>
    </row>
    <row r="590" spans="1:7" s="95" customFormat="1" ht="18" customHeight="1" x14ac:dyDescent="0.25">
      <c r="A590" s="29" t="s">
        <v>228</v>
      </c>
      <c r="B590" s="13" t="s">
        <v>122</v>
      </c>
      <c r="C590" s="25">
        <v>1</v>
      </c>
      <c r="D590" s="13" t="s">
        <v>0</v>
      </c>
      <c r="E590" s="13" t="s">
        <v>229</v>
      </c>
      <c r="F590" s="13"/>
      <c r="G590" s="149">
        <f>SUM(G591)</f>
        <v>31.7</v>
      </c>
    </row>
    <row r="591" spans="1:7" s="95" customFormat="1" ht="31.5" customHeight="1" x14ac:dyDescent="0.25">
      <c r="A591" s="29" t="s">
        <v>115</v>
      </c>
      <c r="B591" s="13" t="s">
        <v>122</v>
      </c>
      <c r="C591" s="25">
        <v>1</v>
      </c>
      <c r="D591" s="13" t="s">
        <v>0</v>
      </c>
      <c r="E591" s="13" t="s">
        <v>229</v>
      </c>
      <c r="F591" s="13" t="s">
        <v>20</v>
      </c>
      <c r="G591" s="149">
        <v>31.7</v>
      </c>
    </row>
    <row r="592" spans="1:7" s="95" customFormat="1" ht="15" customHeight="1" x14ac:dyDescent="0.25">
      <c r="A592" s="29" t="s">
        <v>234</v>
      </c>
      <c r="B592" s="13" t="s">
        <v>122</v>
      </c>
      <c r="C592" s="13" t="s">
        <v>58</v>
      </c>
      <c r="D592" s="13" t="s">
        <v>0</v>
      </c>
      <c r="E592" s="13" t="s">
        <v>235</v>
      </c>
      <c r="F592" s="14"/>
      <c r="G592" s="149">
        <f>SUM(G593)</f>
        <v>25.1</v>
      </c>
    </row>
    <row r="593" spans="1:7" s="95" customFormat="1" ht="31.5" customHeight="1" x14ac:dyDescent="0.25">
      <c r="A593" s="29" t="s">
        <v>115</v>
      </c>
      <c r="B593" s="13" t="s">
        <v>122</v>
      </c>
      <c r="C593" s="13" t="s">
        <v>58</v>
      </c>
      <c r="D593" s="13" t="s">
        <v>0</v>
      </c>
      <c r="E593" s="13" t="s">
        <v>235</v>
      </c>
      <c r="F593" s="14" t="s">
        <v>20</v>
      </c>
      <c r="G593" s="149">
        <v>25.1</v>
      </c>
    </row>
    <row r="594" spans="1:7" s="95" customFormat="1" ht="31.5" customHeight="1" x14ac:dyDescent="0.25">
      <c r="A594" s="148" t="s">
        <v>230</v>
      </c>
      <c r="B594" s="143" t="s">
        <v>122</v>
      </c>
      <c r="C594" s="143" t="s">
        <v>58</v>
      </c>
      <c r="D594" s="143" t="s">
        <v>0</v>
      </c>
      <c r="E594" s="143" t="s">
        <v>231</v>
      </c>
      <c r="F594" s="135"/>
      <c r="G594" s="149">
        <f>G595</f>
        <v>57.6</v>
      </c>
    </row>
    <row r="595" spans="1:7" s="95" customFormat="1" ht="31.5" customHeight="1" x14ac:dyDescent="0.25">
      <c r="A595" s="148" t="s">
        <v>115</v>
      </c>
      <c r="B595" s="143" t="s">
        <v>122</v>
      </c>
      <c r="C595" s="143" t="s">
        <v>58</v>
      </c>
      <c r="D595" s="143" t="s">
        <v>0</v>
      </c>
      <c r="E595" s="143" t="s">
        <v>231</v>
      </c>
      <c r="F595" s="135" t="s">
        <v>20</v>
      </c>
      <c r="G595" s="149">
        <v>57.6</v>
      </c>
    </row>
    <row r="596" spans="1:7" s="95" customFormat="1" ht="47.25" customHeight="1" x14ac:dyDescent="0.25">
      <c r="A596" s="29" t="s">
        <v>444</v>
      </c>
      <c r="B596" s="13" t="s">
        <v>122</v>
      </c>
      <c r="C596" s="13" t="s">
        <v>58</v>
      </c>
      <c r="D596" s="13" t="s">
        <v>1</v>
      </c>
      <c r="E596" s="13"/>
      <c r="F596" s="13"/>
      <c r="G596" s="149">
        <f>G597</f>
        <v>9458.5</v>
      </c>
    </row>
    <row r="597" spans="1:7" s="95" customFormat="1" ht="47.25" customHeight="1" x14ac:dyDescent="0.25">
      <c r="A597" s="29" t="s">
        <v>28</v>
      </c>
      <c r="B597" s="13" t="s">
        <v>122</v>
      </c>
      <c r="C597" s="13" t="s">
        <v>58</v>
      </c>
      <c r="D597" s="13" t="s">
        <v>1</v>
      </c>
      <c r="E597" s="13" t="s">
        <v>51</v>
      </c>
      <c r="F597" s="13"/>
      <c r="G597" s="149">
        <f>G598</f>
        <v>9458.5</v>
      </c>
    </row>
    <row r="598" spans="1:7" s="95" customFormat="1" ht="31.5" customHeight="1" x14ac:dyDescent="0.25">
      <c r="A598" s="30" t="s">
        <v>116</v>
      </c>
      <c r="B598" s="13" t="s">
        <v>122</v>
      </c>
      <c r="C598" s="13" t="s">
        <v>58</v>
      </c>
      <c r="D598" s="13" t="s">
        <v>1</v>
      </c>
      <c r="E598" s="13" t="s">
        <v>51</v>
      </c>
      <c r="F598" s="13" t="s">
        <v>111</v>
      </c>
      <c r="G598" s="149">
        <v>9458.5</v>
      </c>
    </row>
    <row r="599" spans="1:7" s="95" customFormat="1" ht="36.75" customHeight="1" x14ac:dyDescent="0.25">
      <c r="A599" s="29" t="s">
        <v>543</v>
      </c>
      <c r="B599" s="13" t="s">
        <v>122</v>
      </c>
      <c r="C599" s="13" t="s">
        <v>58</v>
      </c>
      <c r="D599" s="13" t="s">
        <v>2</v>
      </c>
      <c r="E599" s="13"/>
      <c r="F599" s="13"/>
      <c r="G599" s="149">
        <f>G600+G6621</f>
        <v>1422.6</v>
      </c>
    </row>
    <row r="600" spans="1:7" s="95" customFormat="1" ht="47.25" customHeight="1" x14ac:dyDescent="0.25">
      <c r="A600" s="29" t="s">
        <v>670</v>
      </c>
      <c r="B600" s="13" t="s">
        <v>122</v>
      </c>
      <c r="C600" s="13" t="s">
        <v>58</v>
      </c>
      <c r="D600" s="13" t="s">
        <v>2</v>
      </c>
      <c r="E600" s="13" t="s">
        <v>138</v>
      </c>
      <c r="F600" s="13"/>
      <c r="G600" s="149">
        <f>G601</f>
        <v>1422.6</v>
      </c>
    </row>
    <row r="601" spans="1:7" s="95" customFormat="1" ht="31.5" customHeight="1" x14ac:dyDescent="0.25">
      <c r="A601" s="29" t="s">
        <v>115</v>
      </c>
      <c r="B601" s="13" t="s">
        <v>122</v>
      </c>
      <c r="C601" s="13" t="s">
        <v>58</v>
      </c>
      <c r="D601" s="13" t="s">
        <v>2</v>
      </c>
      <c r="E601" s="13" t="s">
        <v>138</v>
      </c>
      <c r="F601" s="13" t="s">
        <v>20</v>
      </c>
      <c r="G601" s="149">
        <f>1390+32.6</f>
        <v>1422.6</v>
      </c>
    </row>
    <row r="602" spans="1:7" s="95" customFormat="1" ht="31.5" customHeight="1" x14ac:dyDescent="0.25">
      <c r="A602" s="29" t="s">
        <v>171</v>
      </c>
      <c r="B602" s="13" t="s">
        <v>122</v>
      </c>
      <c r="C602" s="13" t="s">
        <v>58</v>
      </c>
      <c r="D602" s="13" t="s">
        <v>3</v>
      </c>
      <c r="E602" s="13"/>
      <c r="F602" s="13"/>
      <c r="G602" s="149">
        <f>G605+G603</f>
        <v>1348.8</v>
      </c>
    </row>
    <row r="603" spans="1:7" s="95" customFormat="1" ht="21.75" customHeight="1" x14ac:dyDescent="0.25">
      <c r="A603" s="73" t="s">
        <v>565</v>
      </c>
      <c r="B603" s="13" t="s">
        <v>122</v>
      </c>
      <c r="C603" s="13" t="s">
        <v>58</v>
      </c>
      <c r="D603" s="13" t="s">
        <v>3</v>
      </c>
      <c r="E603" s="13" t="s">
        <v>566</v>
      </c>
      <c r="F603" s="13"/>
      <c r="G603" s="149">
        <f>G604</f>
        <v>390.8</v>
      </c>
    </row>
    <row r="604" spans="1:7" s="95" customFormat="1" ht="23.25" customHeight="1" x14ac:dyDescent="0.25">
      <c r="A604" s="73" t="s">
        <v>21</v>
      </c>
      <c r="B604" s="13" t="s">
        <v>122</v>
      </c>
      <c r="C604" s="13" t="s">
        <v>58</v>
      </c>
      <c r="D604" s="13" t="s">
        <v>3</v>
      </c>
      <c r="E604" s="13" t="s">
        <v>566</v>
      </c>
      <c r="F604" s="13" t="s">
        <v>22</v>
      </c>
      <c r="G604" s="149">
        <v>390.8</v>
      </c>
    </row>
    <row r="605" spans="1:7" s="95" customFormat="1" ht="31.5" customHeight="1" x14ac:dyDescent="0.25">
      <c r="A605" s="29" t="s">
        <v>710</v>
      </c>
      <c r="B605" s="13" t="s">
        <v>122</v>
      </c>
      <c r="C605" s="13" t="s">
        <v>58</v>
      </c>
      <c r="D605" s="13" t="s">
        <v>3</v>
      </c>
      <c r="E605" s="13" t="s">
        <v>169</v>
      </c>
      <c r="F605" s="13"/>
      <c r="G605" s="149">
        <f>G606</f>
        <v>958</v>
      </c>
    </row>
    <row r="606" spans="1:7" s="95" customFormat="1" ht="47.25" customHeight="1" x14ac:dyDescent="0.25">
      <c r="A606" s="29" t="s">
        <v>114</v>
      </c>
      <c r="B606" s="13" t="s">
        <v>122</v>
      </c>
      <c r="C606" s="13" t="s">
        <v>58</v>
      </c>
      <c r="D606" s="13" t="s">
        <v>3</v>
      </c>
      <c r="E606" s="13" t="s">
        <v>169</v>
      </c>
      <c r="F606" s="13" t="s">
        <v>19</v>
      </c>
      <c r="G606" s="149">
        <v>958</v>
      </c>
    </row>
    <row r="607" spans="1:7" s="95" customFormat="1" ht="16.95" customHeight="1" x14ac:dyDescent="0.25">
      <c r="A607" s="29" t="s">
        <v>614</v>
      </c>
      <c r="B607" s="13" t="s">
        <v>605</v>
      </c>
      <c r="C607" s="13"/>
      <c r="D607" s="13"/>
      <c r="E607" s="13"/>
      <c r="F607" s="13"/>
      <c r="G607" s="149">
        <f>G608</f>
        <v>13808.4</v>
      </c>
    </row>
    <row r="608" spans="1:7" s="95" customFormat="1" ht="31.5" customHeight="1" x14ac:dyDescent="0.25">
      <c r="A608" s="31" t="s">
        <v>615</v>
      </c>
      <c r="B608" s="13" t="s">
        <v>605</v>
      </c>
      <c r="C608" s="13" t="s">
        <v>58</v>
      </c>
      <c r="D608" s="13"/>
      <c r="E608" s="13"/>
      <c r="F608" s="13"/>
      <c r="G608" s="149">
        <f>G609</f>
        <v>13808.4</v>
      </c>
    </row>
    <row r="609" spans="1:7" s="95" customFormat="1" ht="31.5" customHeight="1" x14ac:dyDescent="0.25">
      <c r="A609" s="31" t="s">
        <v>616</v>
      </c>
      <c r="B609" s="13" t="s">
        <v>605</v>
      </c>
      <c r="C609" s="13" t="s">
        <v>58</v>
      </c>
      <c r="D609" s="13" t="s">
        <v>0</v>
      </c>
      <c r="E609" s="13"/>
      <c r="F609" s="13"/>
      <c r="G609" s="149">
        <f>G610+G612+G614</f>
        <v>13808.4</v>
      </c>
    </row>
    <row r="610" spans="1:7" s="95" customFormat="1" ht="48" customHeight="1" x14ac:dyDescent="0.25">
      <c r="A610" s="29" t="s">
        <v>28</v>
      </c>
      <c r="B610" s="13" t="s">
        <v>605</v>
      </c>
      <c r="C610" s="13" t="s">
        <v>58</v>
      </c>
      <c r="D610" s="13" t="s">
        <v>0</v>
      </c>
      <c r="E610" s="13" t="s">
        <v>51</v>
      </c>
      <c r="F610" s="13"/>
      <c r="G610" s="149">
        <f>G611</f>
        <v>4611.8999999999996</v>
      </c>
    </row>
    <row r="611" spans="1:7" s="95" customFormat="1" ht="52.2" customHeight="1" x14ac:dyDescent="0.25">
      <c r="A611" s="29" t="s">
        <v>114</v>
      </c>
      <c r="B611" s="13" t="s">
        <v>605</v>
      </c>
      <c r="C611" s="13" t="s">
        <v>58</v>
      </c>
      <c r="D611" s="13" t="s">
        <v>0</v>
      </c>
      <c r="E611" s="13" t="s">
        <v>51</v>
      </c>
      <c r="F611" s="13" t="s">
        <v>19</v>
      </c>
      <c r="G611" s="149">
        <v>4611.8999999999996</v>
      </c>
    </row>
    <row r="612" spans="1:7" s="95" customFormat="1" ht="31.5" customHeight="1" x14ac:dyDescent="0.25">
      <c r="A612" s="29" t="s">
        <v>615</v>
      </c>
      <c r="B612" s="13" t="s">
        <v>605</v>
      </c>
      <c r="C612" s="25">
        <v>1</v>
      </c>
      <c r="D612" s="13" t="s">
        <v>0</v>
      </c>
      <c r="E612" s="13" t="s">
        <v>618</v>
      </c>
      <c r="F612" s="13"/>
      <c r="G612" s="149">
        <f>G613</f>
        <v>2335.1</v>
      </c>
    </row>
    <row r="613" spans="1:7" s="95" customFormat="1" ht="35.4" customHeight="1" x14ac:dyDescent="0.25">
      <c r="A613" s="29" t="s">
        <v>115</v>
      </c>
      <c r="B613" s="13" t="s">
        <v>605</v>
      </c>
      <c r="C613" s="25">
        <v>1</v>
      </c>
      <c r="D613" s="13" t="s">
        <v>0</v>
      </c>
      <c r="E613" s="13" t="s">
        <v>618</v>
      </c>
      <c r="F613" s="13" t="s">
        <v>20</v>
      </c>
      <c r="G613" s="149">
        <v>2335.1</v>
      </c>
    </row>
    <row r="614" spans="1:7" s="95" customFormat="1" ht="79.95" customHeight="1" x14ac:dyDescent="0.25">
      <c r="A614" s="118" t="s">
        <v>460</v>
      </c>
      <c r="B614" s="13" t="s">
        <v>605</v>
      </c>
      <c r="C614" s="13" t="s">
        <v>58</v>
      </c>
      <c r="D614" s="13" t="s">
        <v>0</v>
      </c>
      <c r="E614" s="13" t="s">
        <v>56</v>
      </c>
      <c r="F614" s="13"/>
      <c r="G614" s="149">
        <f>G615</f>
        <v>6861.4</v>
      </c>
    </row>
    <row r="615" spans="1:7" s="95" customFormat="1" ht="33.6" customHeight="1" x14ac:dyDescent="0.25">
      <c r="A615" s="29" t="s">
        <v>115</v>
      </c>
      <c r="B615" s="13" t="s">
        <v>605</v>
      </c>
      <c r="C615" s="13" t="s">
        <v>58</v>
      </c>
      <c r="D615" s="13" t="s">
        <v>0</v>
      </c>
      <c r="E615" s="13" t="s">
        <v>56</v>
      </c>
      <c r="F615" s="13" t="s">
        <v>20</v>
      </c>
      <c r="G615" s="149">
        <v>6861.4</v>
      </c>
    </row>
    <row r="616" spans="1:7" s="95" customFormat="1" ht="31.95" customHeight="1" x14ac:dyDescent="0.25">
      <c r="A616" s="31" t="s">
        <v>447</v>
      </c>
      <c r="B616" s="13" t="s">
        <v>103</v>
      </c>
      <c r="C616" s="13"/>
      <c r="D616" s="13"/>
      <c r="E616" s="13"/>
      <c r="F616" s="13"/>
      <c r="G616" s="149">
        <f>SUM(G617)</f>
        <v>4302.5</v>
      </c>
    </row>
    <row r="617" spans="1:7" s="95" customFormat="1" ht="31.5" customHeight="1" x14ac:dyDescent="0.25">
      <c r="A617" s="31" t="s">
        <v>446</v>
      </c>
      <c r="B617" s="13" t="s">
        <v>103</v>
      </c>
      <c r="C617" s="13" t="s">
        <v>58</v>
      </c>
      <c r="D617" s="13"/>
      <c r="E617" s="13"/>
      <c r="F617" s="13"/>
      <c r="G617" s="149">
        <f>SUM(G618:G618)</f>
        <v>4302.5</v>
      </c>
    </row>
    <row r="618" spans="1:7" s="95" customFormat="1" ht="18" customHeight="1" x14ac:dyDescent="0.25">
      <c r="A618" s="31" t="s">
        <v>17</v>
      </c>
      <c r="B618" s="13" t="s">
        <v>103</v>
      </c>
      <c r="C618" s="13" t="s">
        <v>58</v>
      </c>
      <c r="D618" s="13" t="s">
        <v>39</v>
      </c>
      <c r="E618" s="13" t="s">
        <v>41</v>
      </c>
      <c r="F618" s="13"/>
      <c r="G618" s="149">
        <f>G619</f>
        <v>4302.5</v>
      </c>
    </row>
    <row r="619" spans="1:7" s="95" customFormat="1" ht="47.25" customHeight="1" x14ac:dyDescent="0.25">
      <c r="A619" s="29" t="s">
        <v>114</v>
      </c>
      <c r="B619" s="13" t="s">
        <v>103</v>
      </c>
      <c r="C619" s="13" t="s">
        <v>58</v>
      </c>
      <c r="D619" s="13" t="s">
        <v>39</v>
      </c>
      <c r="E619" s="13" t="s">
        <v>41</v>
      </c>
      <c r="F619" s="13" t="s">
        <v>19</v>
      </c>
      <c r="G619" s="149">
        <v>4302.5</v>
      </c>
    </row>
    <row r="620" spans="1:7" s="95" customFormat="1" ht="15.6" customHeight="1" x14ac:dyDescent="0.25">
      <c r="A620" s="31" t="s">
        <v>27</v>
      </c>
      <c r="B620" s="13" t="s">
        <v>104</v>
      </c>
      <c r="C620" s="13"/>
      <c r="D620" s="13"/>
      <c r="E620" s="13"/>
      <c r="F620" s="13"/>
      <c r="G620" s="149">
        <f>SUM(G621)</f>
        <v>1876.3</v>
      </c>
    </row>
    <row r="621" spans="1:7" s="95" customFormat="1" ht="18" customHeight="1" x14ac:dyDescent="0.25">
      <c r="A621" s="31" t="s">
        <v>42</v>
      </c>
      <c r="B621" s="13" t="s">
        <v>104</v>
      </c>
      <c r="C621" s="13" t="s">
        <v>58</v>
      </c>
      <c r="D621" s="13"/>
      <c r="E621" s="13"/>
      <c r="F621" s="13"/>
      <c r="G621" s="149">
        <f>G622</f>
        <v>1876.3</v>
      </c>
    </row>
    <row r="622" spans="1:7" s="95" customFormat="1" ht="16.95" customHeight="1" x14ac:dyDescent="0.25">
      <c r="A622" s="31" t="s">
        <v>17</v>
      </c>
      <c r="B622" s="13" t="s">
        <v>104</v>
      </c>
      <c r="C622" s="13" t="s">
        <v>58</v>
      </c>
      <c r="D622" s="13" t="s">
        <v>39</v>
      </c>
      <c r="E622" s="13" t="s">
        <v>41</v>
      </c>
      <c r="F622" s="13"/>
      <c r="G622" s="149">
        <f>SUM(G623:G624)</f>
        <v>1876.3</v>
      </c>
    </row>
    <row r="623" spans="1:7" s="95" customFormat="1" ht="47.25" customHeight="1" x14ac:dyDescent="0.25">
      <c r="A623" s="29" t="s">
        <v>114</v>
      </c>
      <c r="B623" s="13" t="s">
        <v>104</v>
      </c>
      <c r="C623" s="13" t="s">
        <v>58</v>
      </c>
      <c r="D623" s="13" t="s">
        <v>39</v>
      </c>
      <c r="E623" s="13" t="s">
        <v>41</v>
      </c>
      <c r="F623" s="13" t="s">
        <v>19</v>
      </c>
      <c r="G623" s="149">
        <v>1800</v>
      </c>
    </row>
    <row r="624" spans="1:7" s="95" customFormat="1" ht="31.5" customHeight="1" x14ac:dyDescent="0.25">
      <c r="A624" s="29" t="s">
        <v>115</v>
      </c>
      <c r="B624" s="13" t="s">
        <v>104</v>
      </c>
      <c r="C624" s="13" t="s">
        <v>58</v>
      </c>
      <c r="D624" s="13" t="s">
        <v>39</v>
      </c>
      <c r="E624" s="13" t="s">
        <v>41</v>
      </c>
      <c r="F624" s="13" t="s">
        <v>20</v>
      </c>
      <c r="G624" s="149">
        <v>76.3</v>
      </c>
    </row>
    <row r="625" spans="1:11" s="95" customFormat="1" ht="18" customHeight="1" x14ac:dyDescent="0.25">
      <c r="A625" s="29" t="s">
        <v>29</v>
      </c>
      <c r="B625" s="13" t="s">
        <v>44</v>
      </c>
      <c r="C625" s="13"/>
      <c r="D625" s="13"/>
      <c r="E625" s="13"/>
      <c r="F625" s="13"/>
      <c r="G625" s="149">
        <f>G626+G631+G649+G652</f>
        <v>296321.90000000002</v>
      </c>
    </row>
    <row r="626" spans="1:11" s="95" customFormat="1" ht="31.5" customHeight="1" x14ac:dyDescent="0.25">
      <c r="A626" s="31" t="s">
        <v>418</v>
      </c>
      <c r="B626" s="13" t="s">
        <v>44</v>
      </c>
      <c r="C626" s="13" t="s">
        <v>58</v>
      </c>
      <c r="D626" s="13"/>
      <c r="E626" s="13"/>
      <c r="F626" s="13"/>
      <c r="G626" s="149">
        <f>G627</f>
        <v>198268</v>
      </c>
    </row>
    <row r="627" spans="1:11" s="95" customFormat="1" ht="18" customHeight="1" x14ac:dyDescent="0.25">
      <c r="A627" s="31" t="s">
        <v>17</v>
      </c>
      <c r="B627" s="13" t="s">
        <v>44</v>
      </c>
      <c r="C627" s="13" t="s">
        <v>58</v>
      </c>
      <c r="D627" s="13" t="s">
        <v>39</v>
      </c>
      <c r="E627" s="13" t="s">
        <v>41</v>
      </c>
      <c r="F627" s="13"/>
      <c r="G627" s="149">
        <f>SUM(G628:G630)</f>
        <v>198268</v>
      </c>
    </row>
    <row r="628" spans="1:11" s="95" customFormat="1" ht="47.25" customHeight="1" x14ac:dyDescent="0.25">
      <c r="A628" s="29" t="s">
        <v>114</v>
      </c>
      <c r="B628" s="13" t="s">
        <v>44</v>
      </c>
      <c r="C628" s="13" t="s">
        <v>58</v>
      </c>
      <c r="D628" s="13" t="s">
        <v>39</v>
      </c>
      <c r="E628" s="13" t="s">
        <v>41</v>
      </c>
      <c r="F628" s="13" t="s">
        <v>19</v>
      </c>
      <c r="G628" s="149">
        <f>189290.1+5181.4+2211.6</f>
        <v>196683.1</v>
      </c>
    </row>
    <row r="629" spans="1:11" s="95" customFormat="1" ht="31.5" customHeight="1" x14ac:dyDescent="0.25">
      <c r="A629" s="29" t="s">
        <v>115</v>
      </c>
      <c r="B629" s="13" t="s">
        <v>44</v>
      </c>
      <c r="C629" s="13" t="s">
        <v>58</v>
      </c>
      <c r="D629" s="13" t="s">
        <v>39</v>
      </c>
      <c r="E629" s="13" t="s">
        <v>41</v>
      </c>
      <c r="F629" s="13" t="s">
        <v>20</v>
      </c>
      <c r="G629" s="149">
        <f>1143.5+45.6+118.3-4.3</f>
        <v>1303.0999999999999</v>
      </c>
    </row>
    <row r="630" spans="1:11" s="95" customFormat="1" ht="18" customHeight="1" x14ac:dyDescent="0.25">
      <c r="A630" s="29" t="s">
        <v>21</v>
      </c>
      <c r="B630" s="13" t="s">
        <v>44</v>
      </c>
      <c r="C630" s="13" t="s">
        <v>58</v>
      </c>
      <c r="D630" s="13" t="s">
        <v>39</v>
      </c>
      <c r="E630" s="13" t="s">
        <v>41</v>
      </c>
      <c r="F630" s="13" t="s">
        <v>22</v>
      </c>
      <c r="G630" s="149">
        <v>281.8</v>
      </c>
    </row>
    <row r="631" spans="1:11" ht="18" customHeight="1" x14ac:dyDescent="0.25">
      <c r="A631" s="31" t="s">
        <v>23</v>
      </c>
      <c r="B631" s="13" t="s">
        <v>44</v>
      </c>
      <c r="C631" s="13" t="s">
        <v>93</v>
      </c>
      <c r="D631" s="13"/>
      <c r="E631" s="13"/>
      <c r="F631" s="13"/>
      <c r="G631" s="149">
        <f>G632+G634+G636+G638+G640+G643+G646</f>
        <v>16534.7</v>
      </c>
      <c r="K631" s="96"/>
    </row>
    <row r="632" spans="1:11" ht="33" customHeight="1" x14ac:dyDescent="0.25">
      <c r="A632" s="31" t="s">
        <v>575</v>
      </c>
      <c r="B632" s="13" t="s">
        <v>44</v>
      </c>
      <c r="C632" s="13" t="s">
        <v>93</v>
      </c>
      <c r="D632" s="13" t="s">
        <v>39</v>
      </c>
      <c r="E632" s="13" t="s">
        <v>179</v>
      </c>
      <c r="F632" s="13"/>
      <c r="G632" s="149">
        <f>G633</f>
        <v>1542</v>
      </c>
      <c r="K632" s="96"/>
    </row>
    <row r="633" spans="1:11" ht="47.25" customHeight="1" x14ac:dyDescent="0.25">
      <c r="A633" s="29" t="s">
        <v>114</v>
      </c>
      <c r="B633" s="13" t="s">
        <v>44</v>
      </c>
      <c r="C633" s="13" t="s">
        <v>93</v>
      </c>
      <c r="D633" s="13" t="s">
        <v>39</v>
      </c>
      <c r="E633" s="13" t="s">
        <v>179</v>
      </c>
      <c r="F633" s="13" t="s">
        <v>19</v>
      </c>
      <c r="G633" s="149">
        <v>1542</v>
      </c>
      <c r="K633" s="96"/>
    </row>
    <row r="634" spans="1:11" ht="47.25" customHeight="1" x14ac:dyDescent="0.25">
      <c r="A634" s="119" t="s">
        <v>37</v>
      </c>
      <c r="B634" s="13" t="s">
        <v>44</v>
      </c>
      <c r="C634" s="13" t="s">
        <v>93</v>
      </c>
      <c r="D634" s="13" t="s">
        <v>39</v>
      </c>
      <c r="E634" s="13" t="s">
        <v>47</v>
      </c>
      <c r="F634" s="13"/>
      <c r="G634" s="149">
        <f>G635</f>
        <v>195.4</v>
      </c>
    </row>
    <row r="635" spans="1:11" ht="31.5" customHeight="1" x14ac:dyDescent="0.25">
      <c r="A635" s="29" t="s">
        <v>115</v>
      </c>
      <c r="B635" s="13" t="s">
        <v>44</v>
      </c>
      <c r="C635" s="13" t="s">
        <v>93</v>
      </c>
      <c r="D635" s="13" t="s">
        <v>39</v>
      </c>
      <c r="E635" s="13" t="s">
        <v>47</v>
      </c>
      <c r="F635" s="13" t="s">
        <v>20</v>
      </c>
      <c r="G635" s="149">
        <v>195.4</v>
      </c>
    </row>
    <row r="636" spans="1:11" ht="31.5" customHeight="1" x14ac:dyDescent="0.25">
      <c r="A636" s="118" t="s">
        <v>468</v>
      </c>
      <c r="B636" s="13" t="s">
        <v>44</v>
      </c>
      <c r="C636" s="13" t="s">
        <v>93</v>
      </c>
      <c r="D636" s="13" t="s">
        <v>39</v>
      </c>
      <c r="E636" s="13" t="s">
        <v>467</v>
      </c>
      <c r="F636" s="13"/>
      <c r="G636" s="149">
        <f>G637</f>
        <v>6963.6</v>
      </c>
    </row>
    <row r="637" spans="1:11" ht="47.25" customHeight="1" x14ac:dyDescent="0.25">
      <c r="A637" s="29" t="s">
        <v>114</v>
      </c>
      <c r="B637" s="13" t="s">
        <v>44</v>
      </c>
      <c r="C637" s="13" t="s">
        <v>93</v>
      </c>
      <c r="D637" s="13" t="s">
        <v>39</v>
      </c>
      <c r="E637" s="13" t="s">
        <v>467</v>
      </c>
      <c r="F637" s="13" t="s">
        <v>19</v>
      </c>
      <c r="G637" s="149">
        <v>6963.6</v>
      </c>
    </row>
    <row r="638" spans="1:11" ht="31.5" customHeight="1" x14ac:dyDescent="0.25">
      <c r="A638" s="119" t="s">
        <v>458</v>
      </c>
      <c r="B638" s="13" t="s">
        <v>44</v>
      </c>
      <c r="C638" s="13" t="s">
        <v>93</v>
      </c>
      <c r="D638" s="13" t="s">
        <v>39</v>
      </c>
      <c r="E638" s="13" t="s">
        <v>457</v>
      </c>
      <c r="F638" s="13"/>
      <c r="G638" s="149">
        <f>G639</f>
        <v>500</v>
      </c>
    </row>
    <row r="639" spans="1:11" ht="31.5" customHeight="1" x14ac:dyDescent="0.25">
      <c r="A639" s="29" t="s">
        <v>115</v>
      </c>
      <c r="B639" s="13" t="s">
        <v>44</v>
      </c>
      <c r="C639" s="13" t="s">
        <v>93</v>
      </c>
      <c r="D639" s="13" t="s">
        <v>39</v>
      </c>
      <c r="E639" s="13" t="s">
        <v>457</v>
      </c>
      <c r="F639" s="13" t="s">
        <v>20</v>
      </c>
      <c r="G639" s="149">
        <v>500</v>
      </c>
    </row>
    <row r="640" spans="1:11" ht="31.5" customHeight="1" x14ac:dyDescent="0.25">
      <c r="A640" s="127" t="s">
        <v>199</v>
      </c>
      <c r="B640" s="13" t="s">
        <v>44</v>
      </c>
      <c r="C640" s="13" t="s">
        <v>93</v>
      </c>
      <c r="D640" s="13" t="s">
        <v>39</v>
      </c>
      <c r="E640" s="13" t="s">
        <v>46</v>
      </c>
      <c r="F640" s="13"/>
      <c r="G640" s="149">
        <f>SUM(G641:G642)</f>
        <v>979.7</v>
      </c>
    </row>
    <row r="641" spans="1:7" ht="47.25" customHeight="1" x14ac:dyDescent="0.25">
      <c r="A641" s="29" t="s">
        <v>114</v>
      </c>
      <c r="B641" s="13" t="s">
        <v>44</v>
      </c>
      <c r="C641" s="13" t="s">
        <v>93</v>
      </c>
      <c r="D641" s="13" t="s">
        <v>39</v>
      </c>
      <c r="E641" s="13" t="s">
        <v>46</v>
      </c>
      <c r="F641" s="13" t="s">
        <v>19</v>
      </c>
      <c r="G641" s="149">
        <v>898.7</v>
      </c>
    </row>
    <row r="642" spans="1:7" ht="31.5" customHeight="1" x14ac:dyDescent="0.25">
      <c r="A642" s="29" t="s">
        <v>115</v>
      </c>
      <c r="B642" s="13" t="s">
        <v>44</v>
      </c>
      <c r="C642" s="13" t="s">
        <v>93</v>
      </c>
      <c r="D642" s="13" t="s">
        <v>39</v>
      </c>
      <c r="E642" s="13" t="s">
        <v>46</v>
      </c>
      <c r="F642" s="13" t="s">
        <v>20</v>
      </c>
      <c r="G642" s="149">
        <v>81</v>
      </c>
    </row>
    <row r="643" spans="1:7" ht="63" customHeight="1" x14ac:dyDescent="0.25">
      <c r="A643" s="119" t="s">
        <v>461</v>
      </c>
      <c r="B643" s="13" t="s">
        <v>44</v>
      </c>
      <c r="C643" s="13" t="s">
        <v>93</v>
      </c>
      <c r="D643" s="13" t="s">
        <v>39</v>
      </c>
      <c r="E643" s="13" t="s">
        <v>274</v>
      </c>
      <c r="F643" s="13"/>
      <c r="G643" s="149">
        <f>SUM(G644:G645)</f>
        <v>982.80000000000007</v>
      </c>
    </row>
    <row r="644" spans="1:7" ht="47.25" customHeight="1" x14ac:dyDescent="0.25">
      <c r="A644" s="29" t="s">
        <v>114</v>
      </c>
      <c r="B644" s="13" t="s">
        <v>44</v>
      </c>
      <c r="C644" s="13" t="s">
        <v>93</v>
      </c>
      <c r="D644" s="13" t="s">
        <v>39</v>
      </c>
      <c r="E644" s="13" t="s">
        <v>274</v>
      </c>
      <c r="F644" s="13" t="s">
        <v>19</v>
      </c>
      <c r="G644" s="149">
        <v>898.6</v>
      </c>
    </row>
    <row r="645" spans="1:7" ht="31.5" customHeight="1" x14ac:dyDescent="0.25">
      <c r="A645" s="29" t="s">
        <v>115</v>
      </c>
      <c r="B645" s="13" t="s">
        <v>44</v>
      </c>
      <c r="C645" s="13" t="s">
        <v>93</v>
      </c>
      <c r="D645" s="13" t="s">
        <v>39</v>
      </c>
      <c r="E645" s="13" t="s">
        <v>274</v>
      </c>
      <c r="F645" s="13" t="s">
        <v>20</v>
      </c>
      <c r="G645" s="149">
        <v>84.2</v>
      </c>
    </row>
    <row r="646" spans="1:7" ht="32.4" customHeight="1" x14ac:dyDescent="0.25">
      <c r="A646" s="118" t="s">
        <v>459</v>
      </c>
      <c r="B646" s="13" t="s">
        <v>44</v>
      </c>
      <c r="C646" s="13" t="s">
        <v>93</v>
      </c>
      <c r="D646" s="13" t="s">
        <v>39</v>
      </c>
      <c r="E646" s="13" t="s">
        <v>248</v>
      </c>
      <c r="F646" s="13"/>
      <c r="G646" s="149">
        <f>SUM(G647:G648)</f>
        <v>5371.2</v>
      </c>
    </row>
    <row r="647" spans="1:7" ht="52.2" customHeight="1" x14ac:dyDescent="0.25">
      <c r="A647" s="29" t="s">
        <v>114</v>
      </c>
      <c r="B647" s="13" t="s">
        <v>44</v>
      </c>
      <c r="C647" s="13" t="s">
        <v>93</v>
      </c>
      <c r="D647" s="13" t="s">
        <v>39</v>
      </c>
      <c r="E647" s="13" t="s">
        <v>248</v>
      </c>
      <c r="F647" s="13" t="s">
        <v>19</v>
      </c>
      <c r="G647" s="149">
        <v>5034.3999999999996</v>
      </c>
    </row>
    <row r="648" spans="1:7" ht="31.5" customHeight="1" x14ac:dyDescent="0.25">
      <c r="A648" s="29" t="s">
        <v>115</v>
      </c>
      <c r="B648" s="13" t="s">
        <v>44</v>
      </c>
      <c r="C648" s="13" t="s">
        <v>93</v>
      </c>
      <c r="D648" s="13" t="s">
        <v>39</v>
      </c>
      <c r="E648" s="13" t="s">
        <v>248</v>
      </c>
      <c r="F648" s="13" t="s">
        <v>20</v>
      </c>
      <c r="G648" s="149">
        <v>336.8</v>
      </c>
    </row>
    <row r="649" spans="1:7" ht="34.950000000000003" customHeight="1" x14ac:dyDescent="0.25">
      <c r="A649" s="73" t="s">
        <v>617</v>
      </c>
      <c r="B649" s="13" t="s">
        <v>44</v>
      </c>
      <c r="C649" s="13" t="s">
        <v>101</v>
      </c>
      <c r="D649" s="13"/>
      <c r="E649" s="13"/>
      <c r="F649" s="13"/>
      <c r="G649" s="149">
        <f>G650</f>
        <v>28769.8</v>
      </c>
    </row>
    <row r="650" spans="1:7" ht="16.95" customHeight="1" x14ac:dyDescent="0.25">
      <c r="A650" s="73" t="s">
        <v>17</v>
      </c>
      <c r="B650" s="13" t="s">
        <v>44</v>
      </c>
      <c r="C650" s="13" t="s">
        <v>101</v>
      </c>
      <c r="D650" s="13" t="s">
        <v>39</v>
      </c>
      <c r="E650" s="13" t="s">
        <v>41</v>
      </c>
      <c r="F650" s="13"/>
      <c r="G650" s="149">
        <f>G651</f>
        <v>28769.8</v>
      </c>
    </row>
    <row r="651" spans="1:7" ht="50.4" customHeight="1" x14ac:dyDescent="0.25">
      <c r="A651" s="73" t="s">
        <v>114</v>
      </c>
      <c r="B651" s="13" t="s">
        <v>44</v>
      </c>
      <c r="C651" s="13" t="s">
        <v>101</v>
      </c>
      <c r="D651" s="13" t="s">
        <v>39</v>
      </c>
      <c r="E651" s="13" t="s">
        <v>41</v>
      </c>
      <c r="F651" s="13" t="s">
        <v>19</v>
      </c>
      <c r="G651" s="149">
        <v>28769.8</v>
      </c>
    </row>
    <row r="652" spans="1:7" ht="20.399999999999999" customHeight="1" x14ac:dyDescent="0.25">
      <c r="A652" s="118" t="s">
        <v>307</v>
      </c>
      <c r="B652" s="13" t="s">
        <v>44</v>
      </c>
      <c r="C652" s="25">
        <v>4</v>
      </c>
      <c r="D652" s="13"/>
      <c r="E652" s="13"/>
      <c r="F652" s="13"/>
      <c r="G652" s="128">
        <f>G653</f>
        <v>52749.400000000009</v>
      </c>
    </row>
    <row r="653" spans="1:7" ht="18.600000000000001" customHeight="1" x14ac:dyDescent="0.25">
      <c r="A653" s="118" t="s">
        <v>307</v>
      </c>
      <c r="B653" s="13" t="s">
        <v>44</v>
      </c>
      <c r="C653" s="25">
        <v>4</v>
      </c>
      <c r="D653" s="13" t="s">
        <v>39</v>
      </c>
      <c r="E653" s="13" t="s">
        <v>308</v>
      </c>
      <c r="F653" s="13"/>
      <c r="G653" s="128">
        <f>G654+G655</f>
        <v>52749.400000000009</v>
      </c>
    </row>
    <row r="654" spans="1:7" ht="30.6" customHeight="1" x14ac:dyDescent="0.25">
      <c r="A654" s="118" t="s">
        <v>115</v>
      </c>
      <c r="B654" s="13" t="s">
        <v>44</v>
      </c>
      <c r="C654" s="25">
        <v>4</v>
      </c>
      <c r="D654" s="13" t="s">
        <v>39</v>
      </c>
      <c r="E654" s="13" t="s">
        <v>308</v>
      </c>
      <c r="F654" s="13" t="s">
        <v>20</v>
      </c>
      <c r="G654" s="128">
        <f>21746.8+12105</f>
        <v>33851.800000000003</v>
      </c>
    </row>
    <row r="655" spans="1:7" ht="18" customHeight="1" x14ac:dyDescent="0.25">
      <c r="A655" s="118" t="s">
        <v>21</v>
      </c>
      <c r="B655" s="13" t="s">
        <v>44</v>
      </c>
      <c r="C655" s="25">
        <v>4</v>
      </c>
      <c r="D655" s="13" t="s">
        <v>39</v>
      </c>
      <c r="E655" s="13" t="s">
        <v>308</v>
      </c>
      <c r="F655" s="13" t="s">
        <v>22</v>
      </c>
      <c r="G655" s="128">
        <f>226.2+307.6+16128.1+10+1443.8+307.7+354.2+120</f>
        <v>18897.600000000002</v>
      </c>
    </row>
    <row r="656" spans="1:7" ht="31.2" customHeight="1" x14ac:dyDescent="0.25">
      <c r="A656" s="31" t="s">
        <v>419</v>
      </c>
      <c r="B656" s="13" t="s">
        <v>70</v>
      </c>
      <c r="C656" s="13"/>
      <c r="D656" s="13"/>
      <c r="E656" s="13"/>
      <c r="F656" s="13"/>
      <c r="G656" s="149">
        <f>G657</f>
        <v>49443.3</v>
      </c>
    </row>
    <row r="657" spans="1:7" ht="47.25" customHeight="1" x14ac:dyDescent="0.25">
      <c r="A657" s="31" t="s">
        <v>420</v>
      </c>
      <c r="B657" s="13" t="s">
        <v>70</v>
      </c>
      <c r="C657" s="13" t="s">
        <v>58</v>
      </c>
      <c r="D657" s="13"/>
      <c r="E657" s="13"/>
      <c r="F657" s="13"/>
      <c r="G657" s="149">
        <f>G658</f>
        <v>49443.3</v>
      </c>
    </row>
    <row r="658" spans="1:7" ht="18" customHeight="1" x14ac:dyDescent="0.25">
      <c r="A658" s="31" t="s">
        <v>17</v>
      </c>
      <c r="B658" s="13" t="s">
        <v>70</v>
      </c>
      <c r="C658" s="13" t="s">
        <v>58</v>
      </c>
      <c r="D658" s="13" t="s">
        <v>39</v>
      </c>
      <c r="E658" s="13" t="s">
        <v>41</v>
      </c>
      <c r="F658" s="13"/>
      <c r="G658" s="149">
        <f>SUM(G659:G660)</f>
        <v>49443.3</v>
      </c>
    </row>
    <row r="659" spans="1:7" ht="53.25" customHeight="1" x14ac:dyDescent="0.25">
      <c r="A659" s="29" t="s">
        <v>114</v>
      </c>
      <c r="B659" s="13" t="s">
        <v>70</v>
      </c>
      <c r="C659" s="13" t="s">
        <v>58</v>
      </c>
      <c r="D659" s="13" t="s">
        <v>39</v>
      </c>
      <c r="E659" s="13" t="s">
        <v>41</v>
      </c>
      <c r="F659" s="13" t="s">
        <v>19</v>
      </c>
      <c r="G659" s="149">
        <f>49821.8+1170.2-2211.6</f>
        <v>48780.4</v>
      </c>
    </row>
    <row r="660" spans="1:7" ht="31.5" customHeight="1" x14ac:dyDescent="0.25">
      <c r="A660" s="29" t="s">
        <v>115</v>
      </c>
      <c r="B660" s="13" t="s">
        <v>70</v>
      </c>
      <c r="C660" s="13" t="s">
        <v>58</v>
      </c>
      <c r="D660" s="13" t="s">
        <v>39</v>
      </c>
      <c r="E660" s="13" t="s">
        <v>41</v>
      </c>
      <c r="F660" s="13" t="s">
        <v>20</v>
      </c>
      <c r="G660" s="149">
        <f>635.6+27.3</f>
        <v>662.9</v>
      </c>
    </row>
    <row r="661" spans="1:7" s="95" customFormat="1" ht="31.5" customHeight="1" x14ac:dyDescent="0.25">
      <c r="A661" s="31" t="s">
        <v>422</v>
      </c>
      <c r="B661" s="13" t="s">
        <v>73</v>
      </c>
      <c r="C661" s="13"/>
      <c r="D661" s="13"/>
      <c r="E661" s="13"/>
      <c r="F661" s="13"/>
      <c r="G661" s="149">
        <f>G662</f>
        <v>15473.5</v>
      </c>
    </row>
    <row r="662" spans="1:7" s="95" customFormat="1" ht="31.5" customHeight="1" x14ac:dyDescent="0.25">
      <c r="A662" s="31" t="s">
        <v>423</v>
      </c>
      <c r="B662" s="13" t="s">
        <v>73</v>
      </c>
      <c r="C662" s="13" t="s">
        <v>58</v>
      </c>
      <c r="D662" s="13"/>
      <c r="E662" s="13"/>
      <c r="F662" s="13"/>
      <c r="G662" s="149">
        <f>G663</f>
        <v>15473.5</v>
      </c>
    </row>
    <row r="663" spans="1:7" s="95" customFormat="1" ht="18" customHeight="1" x14ac:dyDescent="0.25">
      <c r="A663" s="31" t="s">
        <v>17</v>
      </c>
      <c r="B663" s="13" t="s">
        <v>73</v>
      </c>
      <c r="C663" s="13" t="s">
        <v>58</v>
      </c>
      <c r="D663" s="13" t="s">
        <v>39</v>
      </c>
      <c r="E663" s="13" t="s">
        <v>41</v>
      </c>
      <c r="F663" s="13"/>
      <c r="G663" s="149">
        <f>SUM(G664:G666)</f>
        <v>15473.5</v>
      </c>
    </row>
    <row r="664" spans="1:7" s="95" customFormat="1" ht="48.6" customHeight="1" x14ac:dyDescent="0.25">
      <c r="A664" s="29" t="s">
        <v>114</v>
      </c>
      <c r="B664" s="13" t="s">
        <v>73</v>
      </c>
      <c r="C664" s="13" t="s">
        <v>58</v>
      </c>
      <c r="D664" s="13" t="s">
        <v>39</v>
      </c>
      <c r="E664" s="13" t="s">
        <v>41</v>
      </c>
      <c r="F664" s="13" t="s">
        <v>19</v>
      </c>
      <c r="G664" s="149">
        <v>14678</v>
      </c>
    </row>
    <row r="665" spans="1:7" s="95" customFormat="1" ht="31.5" customHeight="1" x14ac:dyDescent="0.25">
      <c r="A665" s="29" t="s">
        <v>115</v>
      </c>
      <c r="B665" s="13" t="s">
        <v>73</v>
      </c>
      <c r="C665" s="13" t="s">
        <v>58</v>
      </c>
      <c r="D665" s="13" t="s">
        <v>39</v>
      </c>
      <c r="E665" s="13" t="s">
        <v>41</v>
      </c>
      <c r="F665" s="13" t="s">
        <v>20</v>
      </c>
      <c r="G665" s="149">
        <f>761.4+1.1</f>
        <v>762.5</v>
      </c>
    </row>
    <row r="666" spans="1:7" s="95" customFormat="1" ht="18" customHeight="1" x14ac:dyDescent="0.25">
      <c r="A666" s="29" t="s">
        <v>21</v>
      </c>
      <c r="B666" s="13" t="s">
        <v>73</v>
      </c>
      <c r="C666" s="13" t="s">
        <v>58</v>
      </c>
      <c r="D666" s="13" t="s">
        <v>39</v>
      </c>
      <c r="E666" s="13" t="s">
        <v>41</v>
      </c>
      <c r="F666" s="13" t="s">
        <v>22</v>
      </c>
      <c r="G666" s="149">
        <v>33</v>
      </c>
    </row>
    <row r="667" spans="1:7" s="95" customFormat="1" ht="18" customHeight="1" x14ac:dyDescent="0.25">
      <c r="A667" s="29" t="s">
        <v>499</v>
      </c>
      <c r="B667" s="13" t="s">
        <v>504</v>
      </c>
      <c r="C667" s="13"/>
      <c r="D667" s="13"/>
      <c r="E667" s="13"/>
      <c r="F667" s="13"/>
      <c r="G667" s="149">
        <f>G668</f>
        <v>5336.8</v>
      </c>
    </row>
    <row r="668" spans="1:7" s="95" customFormat="1" ht="18" customHeight="1" x14ac:dyDescent="0.25">
      <c r="A668" s="31" t="s">
        <v>500</v>
      </c>
      <c r="B668" s="13" t="s">
        <v>504</v>
      </c>
      <c r="C668" s="13" t="s">
        <v>58</v>
      </c>
      <c r="D668" s="13"/>
      <c r="E668" s="13"/>
      <c r="F668" s="13"/>
      <c r="G668" s="149">
        <f>G669</f>
        <v>5336.8</v>
      </c>
    </row>
    <row r="669" spans="1:7" s="95" customFormat="1" ht="47.25" customHeight="1" x14ac:dyDescent="0.25">
      <c r="A669" s="31" t="s">
        <v>501</v>
      </c>
      <c r="B669" s="13" t="s">
        <v>504</v>
      </c>
      <c r="C669" s="13" t="s">
        <v>58</v>
      </c>
      <c r="D669" s="13" t="s">
        <v>0</v>
      </c>
      <c r="E669" s="13"/>
      <c r="F669" s="13"/>
      <c r="G669" s="149">
        <f>G670</f>
        <v>5336.8</v>
      </c>
    </row>
    <row r="670" spans="1:7" s="95" customFormat="1" ht="18" customHeight="1" x14ac:dyDescent="0.25">
      <c r="A670" s="31" t="s">
        <v>502</v>
      </c>
      <c r="B670" s="13" t="s">
        <v>504</v>
      </c>
      <c r="C670" s="13" t="s">
        <v>58</v>
      </c>
      <c r="D670" s="13" t="s">
        <v>0</v>
      </c>
      <c r="E670" s="13" t="s">
        <v>505</v>
      </c>
      <c r="F670" s="13"/>
      <c r="G670" s="149">
        <f>G671</f>
        <v>5336.8</v>
      </c>
    </row>
    <row r="671" spans="1:7" s="95" customFormat="1" ht="18" customHeight="1" x14ac:dyDescent="0.25">
      <c r="A671" s="29" t="s">
        <v>561</v>
      </c>
      <c r="B671" s="13" t="s">
        <v>504</v>
      </c>
      <c r="C671" s="13" t="s">
        <v>58</v>
      </c>
      <c r="D671" s="13" t="s">
        <v>0</v>
      </c>
      <c r="E671" s="13" t="s">
        <v>505</v>
      </c>
      <c r="F671" s="13" t="s">
        <v>506</v>
      </c>
      <c r="G671" s="149">
        <v>5336.8</v>
      </c>
    </row>
    <row r="672" spans="1:7" s="95" customFormat="1" ht="18" customHeight="1" x14ac:dyDescent="0.25">
      <c r="A672" s="29" t="s">
        <v>24</v>
      </c>
      <c r="B672" s="13" t="s">
        <v>497</v>
      </c>
      <c r="C672" s="13"/>
      <c r="D672" s="13"/>
      <c r="E672" s="13"/>
      <c r="F672" s="13"/>
      <c r="G672" s="149">
        <f>G673+G676</f>
        <v>55774.900000000009</v>
      </c>
    </row>
    <row r="673" spans="1:7" s="95" customFormat="1" ht="31.5" customHeight="1" x14ac:dyDescent="0.25">
      <c r="A673" s="29" t="s">
        <v>421</v>
      </c>
      <c r="B673" s="13" t="s">
        <v>497</v>
      </c>
      <c r="C673" s="13" t="s">
        <v>498</v>
      </c>
      <c r="D673" s="13" t="s">
        <v>39</v>
      </c>
      <c r="E673" s="13" t="s">
        <v>72</v>
      </c>
      <c r="F673" s="13"/>
      <c r="G673" s="149">
        <f>G674+G675</f>
        <v>55709.900000000009</v>
      </c>
    </row>
    <row r="674" spans="1:7" s="95" customFormat="1" ht="31.5" customHeight="1" x14ac:dyDescent="0.25">
      <c r="A674" s="118" t="s">
        <v>115</v>
      </c>
      <c r="B674" s="13" t="s">
        <v>497</v>
      </c>
      <c r="C674" s="13" t="s">
        <v>498</v>
      </c>
      <c r="D674" s="13" t="s">
        <v>39</v>
      </c>
      <c r="E674" s="13" t="s">
        <v>72</v>
      </c>
      <c r="F674" s="13" t="s">
        <v>20</v>
      </c>
      <c r="G674" s="149">
        <f>25107.9+212.4+72.3</f>
        <v>25392.600000000002</v>
      </c>
    </row>
    <row r="675" spans="1:7" s="95" customFormat="1" ht="16.2" customHeight="1" x14ac:dyDescent="0.25">
      <c r="A675" s="29" t="s">
        <v>21</v>
      </c>
      <c r="B675" s="13" t="s">
        <v>497</v>
      </c>
      <c r="C675" s="13" t="s">
        <v>498</v>
      </c>
      <c r="D675" s="13" t="s">
        <v>39</v>
      </c>
      <c r="E675" s="13" t="s">
        <v>72</v>
      </c>
      <c r="F675" s="13" t="s">
        <v>22</v>
      </c>
      <c r="G675" s="149">
        <f>8000+25107.9-25107.9-212.4+22529.7</f>
        <v>30317.300000000003</v>
      </c>
    </row>
    <row r="676" spans="1:7" s="95" customFormat="1" ht="33.6" customHeight="1" x14ac:dyDescent="0.25">
      <c r="A676" s="148" t="s">
        <v>717</v>
      </c>
      <c r="B676" s="143" t="s">
        <v>497</v>
      </c>
      <c r="C676" s="143" t="s">
        <v>498</v>
      </c>
      <c r="D676" s="143" t="s">
        <v>39</v>
      </c>
      <c r="E676" s="143" t="s">
        <v>715</v>
      </c>
      <c r="F676" s="143"/>
      <c r="G676" s="149">
        <f>G677</f>
        <v>65</v>
      </c>
    </row>
    <row r="677" spans="1:7" s="95" customFormat="1" ht="45.6" customHeight="1" x14ac:dyDescent="0.25">
      <c r="A677" s="148" t="s">
        <v>115</v>
      </c>
      <c r="B677" s="143" t="s">
        <v>497</v>
      </c>
      <c r="C677" s="143" t="s">
        <v>498</v>
      </c>
      <c r="D677" s="143" t="s">
        <v>39</v>
      </c>
      <c r="E677" s="143" t="s">
        <v>715</v>
      </c>
      <c r="F677" s="143" t="s">
        <v>20</v>
      </c>
      <c r="G677" s="149">
        <v>65</v>
      </c>
    </row>
    <row r="678" spans="1:7" s="95" customFormat="1" ht="33" customHeight="1" x14ac:dyDescent="0.25">
      <c r="A678" s="31" t="s">
        <v>424</v>
      </c>
      <c r="B678" s="13" t="s">
        <v>54</v>
      </c>
      <c r="C678" s="13"/>
      <c r="D678" s="13"/>
      <c r="E678" s="13"/>
      <c r="F678" s="13"/>
      <c r="G678" s="149">
        <f>G679</f>
        <v>86.8</v>
      </c>
    </row>
    <row r="679" spans="1:7" s="95" customFormat="1" ht="25.95" customHeight="1" x14ac:dyDescent="0.25">
      <c r="A679" s="31" t="s">
        <v>36</v>
      </c>
      <c r="B679" s="13" t="s">
        <v>54</v>
      </c>
      <c r="C679" s="13" t="s">
        <v>58</v>
      </c>
      <c r="D679" s="13" t="s">
        <v>39</v>
      </c>
      <c r="E679" s="13"/>
      <c r="F679" s="13"/>
      <c r="G679" s="149">
        <f>G680</f>
        <v>86.8</v>
      </c>
    </row>
    <row r="680" spans="1:7" s="95" customFormat="1" ht="29.4" customHeight="1" x14ac:dyDescent="0.25">
      <c r="A680" s="31" t="s">
        <v>6</v>
      </c>
      <c r="B680" s="13" t="s">
        <v>54</v>
      </c>
      <c r="C680" s="13" t="s">
        <v>58</v>
      </c>
      <c r="D680" s="13" t="s">
        <v>39</v>
      </c>
      <c r="E680" s="13" t="s">
        <v>55</v>
      </c>
      <c r="F680" s="13"/>
      <c r="G680" s="149">
        <f>G681</f>
        <v>86.8</v>
      </c>
    </row>
    <row r="681" spans="1:7" s="95" customFormat="1" ht="31.5" customHeight="1" x14ac:dyDescent="0.25">
      <c r="A681" s="29" t="s">
        <v>115</v>
      </c>
      <c r="B681" s="13" t="s">
        <v>54</v>
      </c>
      <c r="C681" s="13" t="s">
        <v>58</v>
      </c>
      <c r="D681" s="13" t="s">
        <v>39</v>
      </c>
      <c r="E681" s="13" t="s">
        <v>55</v>
      </c>
      <c r="F681" s="13" t="s">
        <v>20</v>
      </c>
      <c r="G681" s="147">
        <v>86.8</v>
      </c>
    </row>
    <row r="682" spans="1:7" s="95" customFormat="1" ht="22.5" customHeight="1" x14ac:dyDescent="0.25">
      <c r="A682" s="105"/>
      <c r="B682" s="100"/>
      <c r="C682" s="100"/>
      <c r="D682" s="100"/>
      <c r="E682" s="100"/>
      <c r="F682" s="100"/>
      <c r="G682" s="133" t="s">
        <v>661</v>
      </c>
    </row>
    <row r="683" spans="1:7" s="95" customFormat="1" ht="18" x14ac:dyDescent="0.35">
      <c r="A683" s="161" t="s">
        <v>350</v>
      </c>
      <c r="B683" s="161"/>
      <c r="C683" s="109"/>
      <c r="D683" s="110"/>
      <c r="E683" s="101"/>
      <c r="F683" s="101"/>
      <c r="G683" s="50"/>
    </row>
    <row r="684" spans="1:7" s="95" customFormat="1" ht="18" x14ac:dyDescent="0.35">
      <c r="A684" s="169" t="s">
        <v>595</v>
      </c>
      <c r="B684" s="169"/>
      <c r="C684" s="111"/>
      <c r="D684" s="112"/>
      <c r="E684" s="112"/>
      <c r="F684" s="112"/>
      <c r="G684" s="146"/>
    </row>
    <row r="685" spans="1:7" s="95" customFormat="1" ht="18" x14ac:dyDescent="0.35">
      <c r="A685" s="161" t="s">
        <v>596</v>
      </c>
      <c r="B685" s="161"/>
      <c r="C685" s="112"/>
      <c r="D685" s="110"/>
      <c r="E685" s="112"/>
      <c r="F685" s="112"/>
      <c r="G685" s="113" t="s">
        <v>349</v>
      </c>
    </row>
    <row r="686" spans="1:7" s="95" customFormat="1" ht="21" customHeight="1" x14ac:dyDescent="0.35">
      <c r="A686" s="114"/>
      <c r="B686" s="115"/>
      <c r="C686" s="116"/>
      <c r="D686" s="115"/>
      <c r="E686" s="115"/>
      <c r="F686" s="115"/>
      <c r="G686" s="8"/>
    </row>
    <row r="687" spans="1:7" s="95" customFormat="1" ht="33.6" customHeight="1" x14ac:dyDescent="0.25">
      <c r="A687" s="103"/>
      <c r="B687" s="92"/>
      <c r="C687" s="93"/>
      <c r="D687" s="92"/>
      <c r="E687" s="92"/>
      <c r="F687" s="92"/>
      <c r="G687" s="8"/>
    </row>
    <row r="688" spans="1:7" s="95" customFormat="1" ht="22.5" customHeight="1" x14ac:dyDescent="0.25">
      <c r="A688" s="103"/>
      <c r="B688" s="92"/>
      <c r="C688" s="93"/>
      <c r="D688" s="92"/>
      <c r="E688" s="92"/>
      <c r="F688" s="92"/>
      <c r="G688" s="8"/>
    </row>
    <row r="689" spans="1:7" s="95" customFormat="1" ht="21.75" customHeight="1" x14ac:dyDescent="0.25">
      <c r="A689" s="103"/>
      <c r="B689" s="92"/>
      <c r="C689" s="93"/>
      <c r="D689" s="92"/>
      <c r="E689" s="92"/>
      <c r="F689" s="92"/>
      <c r="G689" s="8"/>
    </row>
    <row r="690" spans="1:7" s="95" customFormat="1" ht="32.25" customHeight="1" x14ac:dyDescent="0.25">
      <c r="A690" s="103"/>
      <c r="B690" s="92"/>
      <c r="C690" s="93"/>
      <c r="D690" s="92"/>
      <c r="E690" s="92"/>
      <c r="F690" s="92"/>
      <c r="G690" s="8"/>
    </row>
    <row r="691" spans="1:7" s="95" customFormat="1" ht="19.2" customHeight="1" x14ac:dyDescent="0.25">
      <c r="A691" s="103"/>
      <c r="B691" s="92"/>
      <c r="C691" s="93"/>
      <c r="D691" s="92"/>
      <c r="E691" s="92"/>
      <c r="F691" s="92"/>
      <c r="G691" s="8"/>
    </row>
    <row r="692" spans="1:7" s="95" customFormat="1" x14ac:dyDescent="0.25">
      <c r="A692" s="103"/>
      <c r="B692" s="92"/>
      <c r="C692" s="93"/>
      <c r="D692" s="92"/>
      <c r="E692" s="92"/>
      <c r="F692" s="92"/>
      <c r="G692" s="8"/>
    </row>
    <row r="693" spans="1:7" s="95" customFormat="1" ht="33.75" customHeight="1" x14ac:dyDescent="0.25">
      <c r="A693" s="103"/>
      <c r="B693" s="92"/>
      <c r="C693" s="93"/>
      <c r="D693" s="92"/>
      <c r="E693" s="92"/>
      <c r="F693" s="92"/>
      <c r="G693" s="8"/>
    </row>
    <row r="694" spans="1:7" s="95" customFormat="1" ht="36.6" customHeight="1" x14ac:dyDescent="0.25">
      <c r="A694" s="103"/>
      <c r="B694" s="92"/>
      <c r="C694" s="93"/>
      <c r="D694" s="92"/>
      <c r="E694" s="92"/>
      <c r="F694" s="93"/>
      <c r="G694" s="8"/>
    </row>
    <row r="695" spans="1:7" s="95" customFormat="1" ht="15.6" customHeight="1" x14ac:dyDescent="0.25">
      <c r="A695" s="103"/>
      <c r="B695" s="92"/>
      <c r="C695" s="93"/>
      <c r="D695" s="92"/>
      <c r="E695" s="92"/>
      <c r="F695" s="93"/>
      <c r="G695" s="8"/>
    </row>
    <row r="696" spans="1:7" s="95" customFormat="1" ht="45.75" customHeight="1" x14ac:dyDescent="0.25">
      <c r="A696" s="103"/>
      <c r="B696" s="92"/>
      <c r="C696" s="93"/>
      <c r="D696" s="92"/>
      <c r="E696" s="92"/>
      <c r="F696" s="92"/>
      <c r="G696" s="8"/>
    </row>
    <row r="697" spans="1:7" s="95" customFormat="1" ht="33" customHeight="1" x14ac:dyDescent="0.25">
      <c r="A697" s="103"/>
      <c r="B697" s="92"/>
      <c r="C697" s="93"/>
      <c r="D697" s="92"/>
      <c r="E697" s="92"/>
      <c r="F697" s="93"/>
      <c r="G697" s="8"/>
    </row>
    <row r="698" spans="1:7" s="95" customFormat="1" ht="32.25" customHeight="1" x14ac:dyDescent="0.25">
      <c r="A698" s="103"/>
      <c r="B698" s="92"/>
      <c r="C698" s="93"/>
      <c r="D698" s="92"/>
      <c r="E698" s="92"/>
      <c r="F698" s="92"/>
      <c r="G698" s="8"/>
    </row>
    <row r="699" spans="1:7" ht="18.600000000000001" customHeight="1" x14ac:dyDescent="0.25"/>
    <row r="701" spans="1:7" ht="53.25" customHeight="1" x14ac:dyDescent="0.25"/>
    <row r="702" spans="1:7" ht="36" customHeight="1" x14ac:dyDescent="0.25"/>
    <row r="703" spans="1:7" ht="18" customHeight="1" x14ac:dyDescent="0.25">
      <c r="G703" s="145"/>
    </row>
    <row r="704" spans="1:7" ht="19.2" customHeight="1" x14ac:dyDescent="0.25">
      <c r="B704" s="94"/>
      <c r="C704" s="94"/>
      <c r="D704" s="94"/>
      <c r="E704" s="94"/>
      <c r="F704" s="93"/>
    </row>
    <row r="705" spans="2:9" ht="21" customHeight="1" x14ac:dyDescent="0.25"/>
    <row r="706" spans="2:9" ht="36.75" customHeight="1" x14ac:dyDescent="0.25">
      <c r="G706" s="145"/>
    </row>
    <row r="707" spans="2:9" ht="21.6" customHeight="1" x14ac:dyDescent="0.25">
      <c r="B707" s="94"/>
      <c r="C707" s="94"/>
      <c r="D707" s="94"/>
      <c r="E707" s="94"/>
      <c r="F707" s="93"/>
    </row>
    <row r="708" spans="2:9" ht="6.6" customHeight="1" x14ac:dyDescent="0.25"/>
    <row r="709" spans="2:9" ht="58.95" customHeight="1" x14ac:dyDescent="0.25"/>
    <row r="710" spans="2:9" ht="18" x14ac:dyDescent="0.35">
      <c r="H710" s="101"/>
      <c r="I710" s="101"/>
    </row>
    <row r="713" spans="2:9" ht="37.5" customHeight="1" x14ac:dyDescent="0.25">
      <c r="G713" s="145"/>
    </row>
    <row r="714" spans="2:9" ht="23.25" customHeight="1" x14ac:dyDescent="0.25">
      <c r="B714" s="94"/>
      <c r="C714" s="94"/>
      <c r="D714" s="94"/>
      <c r="E714" s="94"/>
      <c r="F714" s="93"/>
    </row>
    <row r="716" spans="2:9" ht="24.75" customHeight="1" x14ac:dyDescent="0.25"/>
    <row r="717" spans="2:9" x14ac:dyDescent="0.25">
      <c r="G717" s="145"/>
    </row>
    <row r="718" spans="2:9" x14ac:dyDescent="0.25">
      <c r="B718" s="94"/>
      <c r="C718" s="94"/>
      <c r="D718" s="94"/>
      <c r="E718" s="94"/>
      <c r="G718" s="145"/>
    </row>
    <row r="719" spans="2:9" x14ac:dyDescent="0.25">
      <c r="B719" s="94"/>
      <c r="C719" s="94"/>
      <c r="D719" s="94"/>
      <c r="E719" s="94"/>
      <c r="G719" s="145"/>
    </row>
    <row r="720" spans="2:9" x14ac:dyDescent="0.25">
      <c r="B720" s="94"/>
      <c r="C720" s="94"/>
      <c r="D720" s="94"/>
      <c r="E720" s="94"/>
      <c r="G720" s="145"/>
    </row>
    <row r="721" spans="2:7" x14ac:dyDescent="0.25">
      <c r="B721" s="94"/>
      <c r="C721" s="94"/>
      <c r="D721" s="94"/>
      <c r="E721" s="94"/>
      <c r="G721" s="145"/>
    </row>
    <row r="722" spans="2:7" x14ac:dyDescent="0.25">
      <c r="B722" s="94"/>
      <c r="C722" s="94"/>
      <c r="D722" s="94"/>
      <c r="E722" s="94"/>
    </row>
    <row r="723" spans="2:7" ht="21.75" customHeight="1" x14ac:dyDescent="0.25"/>
    <row r="724" spans="2:7" x14ac:dyDescent="0.25">
      <c r="G724" s="145"/>
    </row>
    <row r="725" spans="2:7" x14ac:dyDescent="0.25">
      <c r="B725" s="94"/>
      <c r="C725" s="94"/>
      <c r="D725" s="94"/>
      <c r="E725" s="94"/>
      <c r="F725" s="93"/>
      <c r="G725" s="145"/>
    </row>
    <row r="726" spans="2:7" ht="23.25" customHeight="1" x14ac:dyDescent="0.25">
      <c r="B726" s="94"/>
      <c r="C726" s="94"/>
      <c r="D726" s="94"/>
      <c r="E726" s="94"/>
      <c r="F726" s="93"/>
      <c r="G726" s="145"/>
    </row>
    <row r="727" spans="2:7" x14ac:dyDescent="0.25">
      <c r="B727" s="94"/>
      <c r="C727" s="94"/>
      <c r="D727" s="94"/>
      <c r="E727" s="94"/>
      <c r="F727" s="93"/>
      <c r="G727" s="145"/>
    </row>
    <row r="728" spans="2:7" x14ac:dyDescent="0.25">
      <c r="B728" s="94"/>
      <c r="C728" s="94"/>
      <c r="D728" s="94"/>
      <c r="E728" s="94"/>
      <c r="F728" s="93"/>
      <c r="G728" s="145"/>
    </row>
    <row r="729" spans="2:7" x14ac:dyDescent="0.25">
      <c r="B729" s="94"/>
      <c r="C729" s="94"/>
      <c r="D729" s="94"/>
      <c r="E729" s="94"/>
      <c r="F729" s="93"/>
    </row>
    <row r="730" spans="2:7" x14ac:dyDescent="0.25">
      <c r="G730" s="145"/>
    </row>
    <row r="731" spans="2:7" x14ac:dyDescent="0.25">
      <c r="B731" s="94"/>
      <c r="C731" s="94"/>
      <c r="D731" s="94"/>
      <c r="E731" s="94"/>
    </row>
    <row r="733" spans="2:7" ht="24" customHeight="1" x14ac:dyDescent="0.25"/>
    <row r="734" spans="2:7" x14ac:dyDescent="0.25">
      <c r="G734" s="145"/>
    </row>
    <row r="735" spans="2:7" x14ac:dyDescent="0.25">
      <c r="B735" s="94"/>
      <c r="C735" s="94"/>
      <c r="D735" s="94"/>
      <c r="E735" s="94"/>
    </row>
    <row r="736" spans="2:7" x14ac:dyDescent="0.25">
      <c r="G736" s="145"/>
    </row>
    <row r="737" spans="2:7" x14ac:dyDescent="0.25">
      <c r="B737" s="94"/>
      <c r="C737" s="94"/>
      <c r="D737" s="94"/>
      <c r="E737" s="94"/>
      <c r="G737" s="145"/>
    </row>
    <row r="738" spans="2:7" x14ac:dyDescent="0.25">
      <c r="B738" s="94"/>
      <c r="C738" s="94"/>
      <c r="D738" s="94"/>
      <c r="E738" s="94"/>
      <c r="F738" s="93"/>
      <c r="G738" s="145"/>
    </row>
    <row r="739" spans="2:7" x14ac:dyDescent="0.25">
      <c r="B739" s="94"/>
      <c r="C739" s="94"/>
      <c r="D739" s="94"/>
      <c r="E739" s="94"/>
      <c r="G739" s="145"/>
    </row>
    <row r="740" spans="2:7" x14ac:dyDescent="0.25">
      <c r="B740" s="94"/>
      <c r="C740" s="94"/>
      <c r="D740" s="94"/>
      <c r="E740" s="94"/>
    </row>
    <row r="741" spans="2:7" x14ac:dyDescent="0.25">
      <c r="G741" s="145"/>
    </row>
    <row r="742" spans="2:7" x14ac:dyDescent="0.25">
      <c r="B742" s="94"/>
      <c r="C742" s="94"/>
      <c r="D742" s="94"/>
      <c r="E742" s="94"/>
      <c r="F742" s="93"/>
      <c r="G742" s="145"/>
    </row>
    <row r="743" spans="2:7" x14ac:dyDescent="0.25">
      <c r="B743" s="94"/>
      <c r="C743" s="94"/>
      <c r="D743" s="94"/>
      <c r="E743" s="94"/>
      <c r="G743" s="145"/>
    </row>
    <row r="744" spans="2:7" ht="18.75" customHeight="1" x14ac:dyDescent="0.25">
      <c r="B744" s="94"/>
      <c r="C744" s="94"/>
      <c r="D744" s="94"/>
      <c r="E744" s="94"/>
      <c r="F744" s="93"/>
    </row>
    <row r="745" spans="2:7" ht="18.75" customHeight="1" x14ac:dyDescent="0.25">
      <c r="G745" s="145"/>
    </row>
    <row r="746" spans="2:7" ht="15.75" customHeight="1" x14ac:dyDescent="0.25">
      <c r="B746" s="94"/>
      <c r="C746" s="94"/>
      <c r="D746" s="94"/>
      <c r="E746" s="94"/>
      <c r="F746" s="93"/>
      <c r="G746" s="145"/>
    </row>
    <row r="747" spans="2:7" ht="24" customHeight="1" x14ac:dyDescent="0.25">
      <c r="B747" s="94"/>
      <c r="C747" s="94"/>
      <c r="D747" s="94"/>
      <c r="E747" s="94"/>
      <c r="F747" s="93"/>
      <c r="G747" s="145"/>
    </row>
    <row r="748" spans="2:7" ht="18" customHeight="1" x14ac:dyDescent="0.25">
      <c r="B748" s="94"/>
      <c r="C748" s="94"/>
      <c r="D748" s="94"/>
      <c r="E748" s="94"/>
    </row>
    <row r="749" spans="2:7" x14ac:dyDescent="0.25">
      <c r="G749" s="145"/>
    </row>
    <row r="750" spans="2:7" x14ac:dyDescent="0.25">
      <c r="B750" s="94"/>
      <c r="C750" s="94"/>
      <c r="D750" s="94"/>
      <c r="E750" s="94"/>
      <c r="F750" s="93"/>
      <c r="G750" s="145"/>
    </row>
    <row r="751" spans="2:7" x14ac:dyDescent="0.25">
      <c r="B751" s="94"/>
      <c r="C751" s="94"/>
      <c r="D751" s="94"/>
      <c r="E751" s="94"/>
    </row>
    <row r="752" spans="2:7" x14ac:dyDescent="0.25">
      <c r="G752" s="145"/>
    </row>
    <row r="753" spans="2:7" x14ac:dyDescent="0.25">
      <c r="B753" s="94"/>
      <c r="C753" s="94"/>
      <c r="D753" s="94"/>
      <c r="E753" s="94"/>
      <c r="F753" s="93"/>
      <c r="G753" s="145"/>
    </row>
    <row r="754" spans="2:7" x14ac:dyDescent="0.25">
      <c r="B754" s="94"/>
      <c r="C754" s="94"/>
      <c r="D754" s="94"/>
      <c r="E754" s="94"/>
      <c r="F754" s="93"/>
      <c r="G754" s="145"/>
    </row>
    <row r="755" spans="2:7" x14ac:dyDescent="0.25">
      <c r="B755" s="94"/>
      <c r="C755" s="94"/>
      <c r="D755" s="94"/>
      <c r="E755" s="94"/>
      <c r="F755" s="93"/>
      <c r="G755" s="145"/>
    </row>
    <row r="756" spans="2:7" x14ac:dyDescent="0.25">
      <c r="B756" s="94"/>
      <c r="C756" s="94"/>
      <c r="D756" s="94"/>
      <c r="E756" s="94"/>
    </row>
    <row r="757" spans="2:7" ht="48.75" customHeight="1" x14ac:dyDescent="0.25">
      <c r="G757" s="145"/>
    </row>
    <row r="758" spans="2:7" x14ac:dyDescent="0.25">
      <c r="B758" s="94"/>
      <c r="C758" s="94"/>
      <c r="D758" s="94"/>
      <c r="E758" s="94"/>
      <c r="F758" s="93"/>
    </row>
    <row r="760" spans="2:7" x14ac:dyDescent="0.25">
      <c r="G760" s="145"/>
    </row>
    <row r="761" spans="2:7" ht="38.25" customHeight="1" x14ac:dyDescent="0.25">
      <c r="B761" s="94"/>
      <c r="C761" s="94"/>
      <c r="D761" s="94"/>
      <c r="E761" s="94"/>
    </row>
    <row r="762" spans="2:7" x14ac:dyDescent="0.25">
      <c r="G762" s="145"/>
    </row>
    <row r="763" spans="2:7" ht="48" customHeight="1" x14ac:dyDescent="0.25">
      <c r="B763" s="94"/>
      <c r="C763" s="94"/>
      <c r="D763" s="94"/>
      <c r="E763" s="94"/>
      <c r="F763" s="93"/>
      <c r="G763" s="145"/>
    </row>
    <row r="764" spans="2:7" x14ac:dyDescent="0.25">
      <c r="B764" s="94"/>
      <c r="C764" s="94"/>
      <c r="D764" s="94"/>
      <c r="E764" s="94"/>
      <c r="G764" s="145"/>
    </row>
    <row r="765" spans="2:7" ht="51" customHeight="1" x14ac:dyDescent="0.25">
      <c r="B765" s="94"/>
      <c r="C765" s="94"/>
      <c r="D765" s="94"/>
      <c r="E765" s="94"/>
      <c r="F765" s="93"/>
    </row>
    <row r="766" spans="2:7" ht="32.25" customHeight="1" x14ac:dyDescent="0.25"/>
    <row r="767" spans="2:7" x14ac:dyDescent="0.25">
      <c r="G767" s="145"/>
    </row>
    <row r="768" spans="2:7" x14ac:dyDescent="0.25">
      <c r="B768" s="94"/>
      <c r="C768" s="94"/>
      <c r="D768" s="94"/>
      <c r="E768" s="94"/>
      <c r="F768" s="93"/>
    </row>
    <row r="769" spans="2:7" ht="48" customHeight="1" x14ac:dyDescent="0.25">
      <c r="G769" s="145"/>
    </row>
    <row r="770" spans="2:7" x14ac:dyDescent="0.25">
      <c r="B770" s="94"/>
      <c r="C770" s="94"/>
      <c r="D770" s="94"/>
      <c r="E770" s="94"/>
      <c r="F770" s="93"/>
      <c r="G770" s="145"/>
    </row>
    <row r="771" spans="2:7" x14ac:dyDescent="0.25">
      <c r="B771" s="94"/>
      <c r="C771" s="94"/>
      <c r="D771" s="94"/>
      <c r="E771" s="94"/>
      <c r="F771" s="93"/>
    </row>
    <row r="772" spans="2:7" ht="18" customHeight="1" x14ac:dyDescent="0.25"/>
    <row r="773" spans="2:7" ht="50.25" customHeight="1" x14ac:dyDescent="0.25"/>
    <row r="774" spans="2:7" ht="47.25" customHeight="1" x14ac:dyDescent="0.25"/>
    <row r="775" spans="2:7" x14ac:dyDescent="0.25">
      <c r="G775" s="145"/>
    </row>
    <row r="776" spans="2:7" x14ac:dyDescent="0.25">
      <c r="B776" s="94"/>
      <c r="C776" s="94"/>
      <c r="D776" s="94"/>
      <c r="E776" s="94"/>
    </row>
    <row r="777" spans="2:7" ht="51.75" customHeight="1" x14ac:dyDescent="0.25">
      <c r="G777" s="145"/>
    </row>
    <row r="778" spans="2:7" x14ac:dyDescent="0.25">
      <c r="B778" s="94"/>
      <c r="C778" s="94"/>
      <c r="D778" s="94"/>
      <c r="E778" s="94"/>
    </row>
    <row r="779" spans="2:7" x14ac:dyDescent="0.25">
      <c r="G779" s="145"/>
    </row>
    <row r="780" spans="2:7" x14ac:dyDescent="0.25">
      <c r="B780" s="94"/>
      <c r="C780" s="94"/>
      <c r="D780" s="94"/>
      <c r="E780" s="94"/>
    </row>
    <row r="781" spans="2:7" x14ac:dyDescent="0.25">
      <c r="G781" s="145"/>
    </row>
    <row r="782" spans="2:7" ht="50.25" customHeight="1" x14ac:dyDescent="0.25">
      <c r="B782" s="94"/>
      <c r="C782" s="94"/>
      <c r="D782" s="94"/>
      <c r="E782" s="94"/>
      <c r="G782" s="145"/>
    </row>
    <row r="783" spans="2:7" x14ac:dyDescent="0.25">
      <c r="B783" s="94"/>
      <c r="C783" s="94"/>
      <c r="D783" s="94"/>
      <c r="E783" s="94"/>
      <c r="F783" s="93"/>
    </row>
    <row r="784" spans="2:7" ht="32.25" customHeight="1" x14ac:dyDescent="0.25">
      <c r="G784" s="145"/>
    </row>
    <row r="785" spans="2:7" x14ac:dyDescent="0.25">
      <c r="B785" s="94"/>
      <c r="C785" s="94"/>
      <c r="D785" s="94"/>
      <c r="E785" s="94"/>
      <c r="F785" s="93"/>
      <c r="G785" s="145"/>
    </row>
    <row r="786" spans="2:7" x14ac:dyDescent="0.25">
      <c r="B786" s="94"/>
      <c r="C786" s="94"/>
      <c r="D786" s="94"/>
      <c r="E786" s="94"/>
      <c r="G786" s="145"/>
    </row>
    <row r="787" spans="2:7" ht="53.25" customHeight="1" x14ac:dyDescent="0.25">
      <c r="B787" s="94"/>
      <c r="C787" s="94"/>
      <c r="D787" s="94"/>
      <c r="E787" s="94"/>
      <c r="F787" s="93"/>
    </row>
    <row r="788" spans="2:7" x14ac:dyDescent="0.25">
      <c r="G788" s="145"/>
    </row>
    <row r="789" spans="2:7" ht="66" customHeight="1" x14ac:dyDescent="0.25">
      <c r="B789" s="94"/>
      <c r="C789" s="94"/>
      <c r="D789" s="94"/>
      <c r="E789" s="94"/>
      <c r="F789" s="93"/>
      <c r="G789" s="145"/>
    </row>
    <row r="790" spans="2:7" ht="51" customHeight="1" x14ac:dyDescent="0.25">
      <c r="B790" s="94"/>
      <c r="C790" s="94"/>
      <c r="D790" s="94"/>
      <c r="E790" s="94"/>
      <c r="F790" s="93"/>
    </row>
    <row r="791" spans="2:7" x14ac:dyDescent="0.25">
      <c r="G791" s="145"/>
    </row>
    <row r="792" spans="2:7" x14ac:dyDescent="0.25">
      <c r="B792" s="94"/>
      <c r="C792" s="94"/>
      <c r="D792" s="94"/>
      <c r="E792" s="94"/>
      <c r="F792" s="93"/>
      <c r="G792" s="145"/>
    </row>
    <row r="793" spans="2:7" x14ac:dyDescent="0.25">
      <c r="B793" s="94"/>
      <c r="C793" s="94"/>
      <c r="D793" s="94"/>
      <c r="E793" s="94"/>
      <c r="F793" s="93"/>
    </row>
    <row r="799" spans="2:7" x14ac:dyDescent="0.25">
      <c r="G799" s="145"/>
    </row>
    <row r="800" spans="2:7" x14ac:dyDescent="0.25">
      <c r="B800" s="94"/>
      <c r="C800" s="94"/>
      <c r="D800" s="94"/>
      <c r="E800" s="94"/>
      <c r="F800" s="93"/>
    </row>
    <row r="801" spans="2:7" x14ac:dyDescent="0.25">
      <c r="G801" s="145"/>
    </row>
    <row r="802" spans="2:7" ht="115.5" customHeight="1" x14ac:dyDescent="0.25">
      <c r="B802" s="94"/>
      <c r="C802" s="94"/>
      <c r="D802" s="94"/>
      <c r="E802" s="94"/>
      <c r="G802" s="145"/>
    </row>
    <row r="803" spans="2:7" x14ac:dyDescent="0.25">
      <c r="B803" s="94"/>
      <c r="C803" s="94"/>
      <c r="D803" s="94"/>
      <c r="E803" s="94"/>
      <c r="G803" s="145"/>
    </row>
    <row r="804" spans="2:7" ht="131.25" customHeight="1" x14ac:dyDescent="0.25">
      <c r="B804" s="94"/>
      <c r="C804" s="94"/>
      <c r="D804" s="94"/>
      <c r="E804" s="94"/>
      <c r="G804" s="145"/>
    </row>
    <row r="805" spans="2:7" x14ac:dyDescent="0.25">
      <c r="B805" s="94"/>
      <c r="C805" s="94"/>
      <c r="D805" s="94"/>
      <c r="E805" s="94"/>
    </row>
    <row r="806" spans="2:7" ht="38.25" customHeight="1" x14ac:dyDescent="0.25"/>
    <row r="808" spans="2:7" ht="78" customHeight="1" x14ac:dyDescent="0.25">
      <c r="G808" s="145"/>
    </row>
    <row r="809" spans="2:7" ht="22.5" customHeight="1" x14ac:dyDescent="0.25">
      <c r="B809" s="94"/>
      <c r="C809" s="94"/>
      <c r="D809" s="94"/>
      <c r="E809" s="94"/>
      <c r="F809" s="93"/>
      <c r="G809" s="145"/>
    </row>
    <row r="810" spans="2:7" x14ac:dyDescent="0.25">
      <c r="B810" s="94"/>
      <c r="C810" s="94"/>
      <c r="D810" s="94"/>
      <c r="E810" s="94"/>
      <c r="F810" s="93"/>
      <c r="G810" s="145"/>
    </row>
    <row r="811" spans="2:7" ht="24" customHeight="1" x14ac:dyDescent="0.25">
      <c r="B811" s="94"/>
      <c r="C811" s="94"/>
      <c r="D811" s="94"/>
      <c r="E811" s="94"/>
      <c r="F811" s="93"/>
      <c r="G811" s="145"/>
    </row>
    <row r="812" spans="2:7" ht="66" customHeight="1" x14ac:dyDescent="0.25">
      <c r="B812" s="94"/>
      <c r="C812" s="94"/>
      <c r="D812" s="94"/>
      <c r="E812" s="94"/>
      <c r="F812" s="93"/>
    </row>
    <row r="815" spans="2:7" x14ac:dyDescent="0.25">
      <c r="G815" s="145"/>
    </row>
    <row r="816" spans="2:7" x14ac:dyDescent="0.25">
      <c r="B816" s="94"/>
      <c r="C816" s="94"/>
      <c r="D816" s="94"/>
      <c r="E816" s="94"/>
      <c r="F816" s="93"/>
      <c r="G816" s="145"/>
    </row>
    <row r="817" spans="2:7" x14ac:dyDescent="0.25">
      <c r="B817" s="94"/>
      <c r="C817" s="94"/>
      <c r="D817" s="94"/>
      <c r="E817" s="94"/>
      <c r="F817" s="93"/>
    </row>
    <row r="819" spans="2:7" ht="18" customHeight="1" x14ac:dyDescent="0.25">
      <c r="G819" s="145"/>
    </row>
    <row r="820" spans="2:7" x14ac:dyDescent="0.25">
      <c r="B820" s="94"/>
      <c r="C820" s="94"/>
      <c r="D820" s="94"/>
      <c r="E820" s="94"/>
    </row>
    <row r="826" spans="2:7" x14ac:dyDescent="0.25">
      <c r="G826" s="145"/>
    </row>
    <row r="827" spans="2:7" x14ac:dyDescent="0.25">
      <c r="B827" s="94"/>
      <c r="C827" s="94"/>
      <c r="D827" s="94"/>
      <c r="E827" s="94"/>
      <c r="F827" s="93"/>
    </row>
    <row r="828" spans="2:7" ht="22.5" customHeight="1" x14ac:dyDescent="0.25"/>
    <row r="829" spans="2:7" ht="48" customHeight="1" x14ac:dyDescent="0.25">
      <c r="G829" s="145"/>
    </row>
    <row r="830" spans="2:7" ht="21" customHeight="1" x14ac:dyDescent="0.25">
      <c r="B830" s="94"/>
      <c r="C830" s="94"/>
      <c r="D830" s="94"/>
      <c r="E830" s="94"/>
    </row>
    <row r="831" spans="2:7" ht="51" customHeight="1" x14ac:dyDescent="0.25"/>
    <row r="833" spans="2:7" x14ac:dyDescent="0.25">
      <c r="G833" s="145"/>
    </row>
    <row r="834" spans="2:7" x14ac:dyDescent="0.25">
      <c r="B834" s="94"/>
      <c r="C834" s="94"/>
      <c r="D834" s="94"/>
      <c r="E834" s="94"/>
    </row>
    <row r="835" spans="2:7" ht="28.5" customHeight="1" x14ac:dyDescent="0.25"/>
    <row r="836" spans="2:7" ht="23.25" customHeight="1" x14ac:dyDescent="0.25">
      <c r="G836" s="145"/>
    </row>
    <row r="837" spans="2:7" x14ac:dyDescent="0.25">
      <c r="B837" s="94"/>
      <c r="C837" s="94"/>
      <c r="D837" s="94"/>
      <c r="E837" s="94"/>
      <c r="F837" s="93"/>
      <c r="G837" s="145"/>
    </row>
    <row r="838" spans="2:7" x14ac:dyDescent="0.25">
      <c r="B838" s="94"/>
      <c r="C838" s="94"/>
      <c r="D838" s="94"/>
      <c r="E838" s="94"/>
    </row>
    <row r="840" spans="2:7" x14ac:dyDescent="0.25">
      <c r="G840" s="145"/>
    </row>
    <row r="841" spans="2:7" x14ac:dyDescent="0.25">
      <c r="B841" s="94"/>
      <c r="C841" s="94"/>
      <c r="D841" s="94"/>
      <c r="E841" s="94"/>
      <c r="F841" s="93"/>
    </row>
    <row r="842" spans="2:7" x14ac:dyDescent="0.25">
      <c r="G842" s="145"/>
    </row>
    <row r="843" spans="2:7" x14ac:dyDescent="0.25">
      <c r="B843" s="94"/>
      <c r="C843" s="94"/>
      <c r="D843" s="94"/>
      <c r="E843" s="94"/>
    </row>
    <row r="844" spans="2:7" x14ac:dyDescent="0.25">
      <c r="G844" s="145"/>
    </row>
    <row r="845" spans="2:7" x14ac:dyDescent="0.25">
      <c r="B845" s="94"/>
      <c r="C845" s="94"/>
      <c r="D845" s="94"/>
      <c r="E845" s="94"/>
      <c r="F845" s="93"/>
    </row>
    <row r="846" spans="2:7" ht="27" customHeight="1" x14ac:dyDescent="0.25"/>
    <row r="847" spans="2:7" x14ac:dyDescent="0.25">
      <c r="G847" s="145"/>
    </row>
    <row r="848" spans="2:7" x14ac:dyDescent="0.25">
      <c r="B848" s="94"/>
      <c r="C848" s="94"/>
      <c r="D848" s="94"/>
      <c r="E848" s="94"/>
    </row>
    <row r="849" spans="2:7" x14ac:dyDescent="0.25">
      <c r="G849" s="145"/>
    </row>
    <row r="850" spans="2:7" x14ac:dyDescent="0.25">
      <c r="B850" s="94"/>
      <c r="C850" s="94"/>
      <c r="D850" s="94"/>
      <c r="E850" s="94"/>
      <c r="F850" s="93"/>
    </row>
    <row r="852" spans="2:7" x14ac:dyDescent="0.25">
      <c r="G852" s="145"/>
    </row>
    <row r="853" spans="2:7" x14ac:dyDescent="0.25">
      <c r="B853" s="94"/>
      <c r="C853" s="94"/>
      <c r="D853" s="94"/>
      <c r="E853" s="94"/>
    </row>
    <row r="854" spans="2:7" x14ac:dyDescent="0.25">
      <c r="G854" s="145"/>
    </row>
    <row r="855" spans="2:7" x14ac:dyDescent="0.25">
      <c r="B855" s="94"/>
      <c r="C855" s="94"/>
      <c r="D855" s="94"/>
      <c r="E855" s="94"/>
      <c r="F855" s="93"/>
      <c r="G855" s="145"/>
    </row>
    <row r="856" spans="2:7" ht="53.25" customHeight="1" x14ac:dyDescent="0.25">
      <c r="B856" s="94"/>
      <c r="C856" s="94"/>
      <c r="D856" s="94"/>
      <c r="E856" s="94"/>
    </row>
    <row r="857" spans="2:7" x14ac:dyDescent="0.25">
      <c r="G857" s="145"/>
    </row>
    <row r="858" spans="2:7" x14ac:dyDescent="0.25">
      <c r="B858" s="94"/>
      <c r="C858" s="94"/>
      <c r="D858" s="94"/>
      <c r="E858" s="94"/>
    </row>
    <row r="859" spans="2:7" x14ac:dyDescent="0.25">
      <c r="G859" s="145"/>
    </row>
    <row r="860" spans="2:7" ht="48" customHeight="1" x14ac:dyDescent="0.25">
      <c r="B860" s="94"/>
      <c r="C860" s="94"/>
      <c r="D860" s="94"/>
      <c r="E860" s="94"/>
      <c r="F860" s="93"/>
      <c r="G860" s="145"/>
    </row>
    <row r="861" spans="2:7" x14ac:dyDescent="0.25">
      <c r="B861" s="94"/>
      <c r="C861" s="94"/>
      <c r="D861" s="94"/>
      <c r="E861" s="94"/>
      <c r="G861" s="145"/>
    </row>
    <row r="862" spans="2:7" x14ac:dyDescent="0.25">
      <c r="B862" s="94"/>
      <c r="C862" s="94"/>
      <c r="D862" s="94"/>
      <c r="E862" s="94"/>
      <c r="G862" s="145"/>
    </row>
    <row r="863" spans="2:7" x14ac:dyDescent="0.25">
      <c r="B863" s="94"/>
      <c r="C863" s="94"/>
      <c r="D863" s="94"/>
      <c r="E863" s="94"/>
      <c r="F863" s="93"/>
    </row>
    <row r="864" spans="2:7" ht="19.5" customHeight="1" x14ac:dyDescent="0.25">
      <c r="G864" s="145"/>
    </row>
    <row r="865" spans="2:7" x14ac:dyDescent="0.25">
      <c r="B865" s="94"/>
      <c r="C865" s="94"/>
      <c r="D865" s="94"/>
      <c r="E865" s="94"/>
      <c r="F865" s="93"/>
    </row>
    <row r="867" spans="2:7" x14ac:dyDescent="0.25">
      <c r="G867" s="145"/>
    </row>
    <row r="868" spans="2:7" x14ac:dyDescent="0.25">
      <c r="B868" s="94"/>
      <c r="C868" s="94"/>
      <c r="D868" s="94"/>
      <c r="E868" s="94"/>
      <c r="F868" s="93"/>
      <c r="G868" s="145"/>
    </row>
    <row r="869" spans="2:7" ht="50.25" customHeight="1" x14ac:dyDescent="0.25">
      <c r="B869" s="94"/>
      <c r="C869" s="94"/>
      <c r="D869" s="94"/>
      <c r="E869" s="94"/>
      <c r="F869" s="93"/>
      <c r="G869" s="145"/>
    </row>
    <row r="870" spans="2:7" x14ac:dyDescent="0.25">
      <c r="B870" s="94"/>
      <c r="C870" s="94"/>
      <c r="D870" s="94"/>
      <c r="E870" s="94"/>
    </row>
    <row r="873" spans="2:7" x14ac:dyDescent="0.25">
      <c r="G873" s="145"/>
    </row>
    <row r="874" spans="2:7" ht="48.75" customHeight="1" x14ac:dyDescent="0.25">
      <c r="B874" s="94"/>
      <c r="C874" s="94"/>
      <c r="D874" s="94"/>
      <c r="E874" s="94"/>
    </row>
    <row r="876" spans="2:7" x14ac:dyDescent="0.25">
      <c r="G876" s="145"/>
    </row>
    <row r="877" spans="2:7" x14ac:dyDescent="0.25">
      <c r="B877" s="94"/>
      <c r="C877" s="94"/>
      <c r="D877" s="94"/>
      <c r="E877" s="94"/>
      <c r="F877" s="93"/>
    </row>
    <row r="879" spans="2:7" ht="54.75" customHeight="1" x14ac:dyDescent="0.25"/>
    <row r="880" spans="2:7" x14ac:dyDescent="0.25">
      <c r="G880" s="145"/>
    </row>
    <row r="881" spans="2:7" x14ac:dyDescent="0.25">
      <c r="B881" s="94"/>
      <c r="C881" s="94"/>
      <c r="D881" s="94"/>
      <c r="E881" s="94"/>
      <c r="F881" s="93"/>
      <c r="G881" s="145"/>
    </row>
    <row r="882" spans="2:7" ht="36.75" customHeight="1" x14ac:dyDescent="0.25">
      <c r="B882" s="94"/>
      <c r="C882" s="94"/>
      <c r="D882" s="94"/>
      <c r="E882" s="94"/>
    </row>
    <row r="883" spans="2:7" x14ac:dyDescent="0.25">
      <c r="G883" s="145"/>
    </row>
    <row r="884" spans="2:7" ht="49.5" customHeight="1" x14ac:dyDescent="0.25">
      <c r="B884" s="94"/>
      <c r="C884" s="94"/>
      <c r="D884" s="94"/>
      <c r="E884" s="94"/>
      <c r="G884" s="145"/>
    </row>
    <row r="885" spans="2:7" x14ac:dyDescent="0.25">
      <c r="B885" s="94"/>
      <c r="C885" s="94"/>
      <c r="D885" s="94"/>
      <c r="E885" s="94"/>
      <c r="G885" s="145"/>
    </row>
    <row r="886" spans="2:7" x14ac:dyDescent="0.25">
      <c r="B886" s="94"/>
      <c r="C886" s="94"/>
      <c r="D886" s="94"/>
      <c r="E886" s="94"/>
      <c r="G886" s="145"/>
    </row>
    <row r="887" spans="2:7" ht="32.25" customHeight="1" x14ac:dyDescent="0.25">
      <c r="B887" s="94"/>
      <c r="C887" s="94"/>
      <c r="D887" s="94"/>
      <c r="E887" s="94"/>
    </row>
    <row r="888" spans="2:7" ht="51" customHeight="1" x14ac:dyDescent="0.25">
      <c r="G888" s="145"/>
    </row>
    <row r="889" spans="2:7" x14ac:dyDescent="0.25">
      <c r="B889" s="94"/>
      <c r="C889" s="94"/>
      <c r="D889" s="94"/>
      <c r="E889" s="94"/>
      <c r="F889" s="93"/>
    </row>
    <row r="890" spans="2:7" x14ac:dyDescent="0.25">
      <c r="G890" s="145"/>
    </row>
    <row r="891" spans="2:7" x14ac:dyDescent="0.25">
      <c r="B891" s="94"/>
      <c r="C891" s="94"/>
      <c r="D891" s="94"/>
      <c r="E891" s="94"/>
      <c r="F891" s="93"/>
      <c r="G891" s="145"/>
    </row>
    <row r="892" spans="2:7" x14ac:dyDescent="0.25">
      <c r="B892" s="94"/>
      <c r="C892" s="94"/>
      <c r="D892" s="94"/>
      <c r="E892" s="94"/>
      <c r="F892" s="93"/>
      <c r="G892" s="145"/>
    </row>
    <row r="893" spans="2:7" x14ac:dyDescent="0.25">
      <c r="B893" s="94"/>
      <c r="C893" s="94"/>
      <c r="D893" s="94"/>
      <c r="E893" s="94"/>
      <c r="F893" s="93"/>
      <c r="G893" s="145"/>
    </row>
    <row r="894" spans="2:7" x14ac:dyDescent="0.25">
      <c r="B894" s="94"/>
      <c r="C894" s="94"/>
      <c r="D894" s="94"/>
      <c r="E894" s="94"/>
      <c r="F894" s="93"/>
    </row>
    <row r="895" spans="2:7" x14ac:dyDescent="0.25">
      <c r="G895" s="145"/>
    </row>
    <row r="896" spans="2:7" ht="50.25" customHeight="1" x14ac:dyDescent="0.25">
      <c r="B896" s="94"/>
      <c r="C896" s="94"/>
      <c r="D896" s="94"/>
      <c r="E896" s="94"/>
      <c r="F896" s="93"/>
    </row>
    <row r="897" spans="2:7" x14ac:dyDescent="0.25">
      <c r="G897" s="145"/>
    </row>
    <row r="898" spans="2:7" x14ac:dyDescent="0.25">
      <c r="B898" s="94"/>
      <c r="C898" s="94"/>
      <c r="D898" s="94"/>
      <c r="E898" s="94"/>
      <c r="F898" s="93"/>
      <c r="G898" s="145"/>
    </row>
    <row r="899" spans="2:7" x14ac:dyDescent="0.25">
      <c r="B899" s="94"/>
      <c r="C899" s="94"/>
      <c r="D899" s="94"/>
      <c r="E899" s="94"/>
      <c r="F899" s="93"/>
      <c r="G899" s="145"/>
    </row>
    <row r="900" spans="2:7" ht="36" customHeight="1" x14ac:dyDescent="0.25">
      <c r="B900" s="94"/>
      <c r="C900" s="94"/>
      <c r="D900" s="94"/>
      <c r="E900" s="94"/>
      <c r="G900" s="145"/>
    </row>
    <row r="901" spans="2:7" x14ac:dyDescent="0.25">
      <c r="B901" s="94"/>
      <c r="C901" s="94"/>
      <c r="D901" s="94"/>
      <c r="E901" s="94"/>
      <c r="F901" s="93"/>
      <c r="G901" s="145"/>
    </row>
    <row r="902" spans="2:7" x14ac:dyDescent="0.25">
      <c r="B902" s="94"/>
      <c r="C902" s="94"/>
      <c r="D902" s="94"/>
      <c r="E902" s="94"/>
    </row>
    <row r="904" spans="2:7" x14ac:dyDescent="0.25">
      <c r="G904" s="145"/>
    </row>
    <row r="905" spans="2:7" x14ac:dyDescent="0.25">
      <c r="B905" s="94"/>
      <c r="C905" s="94"/>
      <c r="D905" s="94"/>
      <c r="E905" s="94"/>
      <c r="G905" s="145"/>
    </row>
    <row r="906" spans="2:7" x14ac:dyDescent="0.25">
      <c r="B906" s="94"/>
      <c r="C906" s="94"/>
      <c r="D906" s="94"/>
      <c r="E906" s="94"/>
      <c r="G906" s="145"/>
    </row>
    <row r="907" spans="2:7" x14ac:dyDescent="0.25">
      <c r="B907" s="94"/>
      <c r="C907" s="94"/>
      <c r="D907" s="94"/>
      <c r="E907" s="94"/>
      <c r="F907" s="93"/>
      <c r="G907" s="145"/>
    </row>
    <row r="908" spans="2:7" ht="24" customHeight="1" x14ac:dyDescent="0.25">
      <c r="B908" s="94"/>
      <c r="C908" s="94"/>
      <c r="D908" s="94"/>
      <c r="E908" s="94"/>
      <c r="G908" s="145"/>
    </row>
    <row r="909" spans="2:7" x14ac:dyDescent="0.25">
      <c r="B909" s="94"/>
      <c r="C909" s="94"/>
      <c r="D909" s="94"/>
      <c r="E909" s="94"/>
      <c r="F909" s="93"/>
      <c r="G909" s="145"/>
    </row>
    <row r="910" spans="2:7" ht="113.25" customHeight="1" x14ac:dyDescent="0.25">
      <c r="B910" s="94"/>
      <c r="C910" s="94"/>
      <c r="D910" s="94"/>
      <c r="E910" s="94"/>
    </row>
    <row r="911" spans="2:7" ht="27.75" customHeight="1" x14ac:dyDescent="0.25">
      <c r="G911" s="145"/>
    </row>
    <row r="912" spans="2:7" ht="51.75" customHeight="1" x14ac:dyDescent="0.25">
      <c r="B912" s="94"/>
      <c r="C912" s="94"/>
      <c r="D912" s="94"/>
      <c r="E912" s="94"/>
      <c r="F912" s="93"/>
      <c r="G912" s="145"/>
    </row>
    <row r="913" spans="2:7" ht="47.25" customHeight="1" x14ac:dyDescent="0.25">
      <c r="B913" s="94"/>
      <c r="C913" s="94"/>
      <c r="D913" s="94"/>
      <c r="E913" s="94"/>
      <c r="F913" s="93"/>
      <c r="G913" s="145"/>
    </row>
    <row r="914" spans="2:7" x14ac:dyDescent="0.25">
      <c r="B914" s="94"/>
      <c r="C914" s="94"/>
      <c r="D914" s="94"/>
      <c r="E914" s="94"/>
      <c r="F914" s="93"/>
      <c r="G914" s="145"/>
    </row>
    <row r="915" spans="2:7" ht="37.5" customHeight="1" x14ac:dyDescent="0.25">
      <c r="B915" s="94"/>
      <c r="C915" s="94"/>
      <c r="D915" s="94"/>
      <c r="E915" s="94"/>
      <c r="F915" s="93"/>
      <c r="G915" s="145"/>
    </row>
    <row r="916" spans="2:7" x14ac:dyDescent="0.25">
      <c r="B916" s="94"/>
      <c r="C916" s="94"/>
      <c r="D916" s="94"/>
      <c r="E916" s="94"/>
      <c r="F916" s="93"/>
      <c r="G916" s="145"/>
    </row>
    <row r="917" spans="2:7" ht="50.25" customHeight="1" x14ac:dyDescent="0.25">
      <c r="B917" s="94"/>
      <c r="C917" s="94"/>
      <c r="D917" s="94"/>
      <c r="E917" s="94"/>
      <c r="F917" s="93"/>
    </row>
    <row r="918" spans="2:7" ht="48" customHeight="1" x14ac:dyDescent="0.25">
      <c r="G918" s="145"/>
    </row>
    <row r="919" spans="2:7" x14ac:dyDescent="0.25">
      <c r="B919" s="94"/>
      <c r="C919" s="94"/>
      <c r="D919" s="94"/>
      <c r="E919" s="94"/>
      <c r="F919" s="93"/>
    </row>
    <row r="920" spans="2:7" ht="34.5" customHeight="1" x14ac:dyDescent="0.25">
      <c r="G920" s="145"/>
    </row>
    <row r="921" spans="2:7" x14ac:dyDescent="0.25">
      <c r="B921" s="94"/>
      <c r="C921" s="94"/>
      <c r="D921" s="94"/>
      <c r="E921" s="94"/>
      <c r="F921" s="93"/>
      <c r="G921" s="145"/>
    </row>
    <row r="922" spans="2:7" x14ac:dyDescent="0.25">
      <c r="B922" s="94"/>
      <c r="C922" s="94"/>
      <c r="D922" s="94"/>
      <c r="E922" s="94"/>
      <c r="F922" s="93"/>
      <c r="G922" s="145"/>
    </row>
    <row r="923" spans="2:7" x14ac:dyDescent="0.25">
      <c r="B923" s="94"/>
      <c r="C923" s="94"/>
      <c r="D923" s="94"/>
      <c r="E923" s="94"/>
      <c r="G923" s="145"/>
    </row>
    <row r="924" spans="2:7" x14ac:dyDescent="0.25">
      <c r="B924" s="94"/>
      <c r="C924" s="94"/>
      <c r="D924" s="94"/>
      <c r="E924" s="94"/>
      <c r="F924" s="93"/>
    </row>
    <row r="926" spans="2:7" ht="53.25" customHeight="1" x14ac:dyDescent="0.25">
      <c r="G926" s="145"/>
    </row>
    <row r="927" spans="2:7" x14ac:dyDescent="0.25">
      <c r="B927" s="94"/>
      <c r="C927" s="94"/>
      <c r="D927" s="94"/>
      <c r="E927" s="94"/>
    </row>
    <row r="928" spans="2:7" ht="36.75" customHeight="1" x14ac:dyDescent="0.25"/>
    <row r="929" spans="2:7" x14ac:dyDescent="0.25">
      <c r="G929" s="145"/>
    </row>
    <row r="930" spans="2:7" x14ac:dyDescent="0.25">
      <c r="B930" s="94"/>
      <c r="C930" s="94"/>
      <c r="D930" s="94"/>
      <c r="E930" s="94"/>
      <c r="F930" s="93"/>
    </row>
    <row r="931" spans="2:7" ht="53.25" customHeight="1" x14ac:dyDescent="0.25"/>
    <row r="932" spans="2:7" ht="38.25" customHeight="1" x14ac:dyDescent="0.25"/>
    <row r="933" spans="2:7" ht="112.5" customHeight="1" x14ac:dyDescent="0.25">
      <c r="G933" s="145"/>
    </row>
    <row r="934" spans="2:7" ht="24" customHeight="1" x14ac:dyDescent="0.25">
      <c r="B934" s="94"/>
      <c r="C934" s="94"/>
      <c r="D934" s="94"/>
      <c r="E934" s="94"/>
      <c r="F934" s="93"/>
      <c r="G934" s="145"/>
    </row>
    <row r="935" spans="2:7" ht="52.5" customHeight="1" x14ac:dyDescent="0.25">
      <c r="B935" s="94"/>
      <c r="C935" s="94"/>
      <c r="D935" s="94"/>
      <c r="E935" s="94"/>
    </row>
    <row r="936" spans="2:7" ht="51" customHeight="1" x14ac:dyDescent="0.25"/>
    <row r="938" spans="2:7" ht="33" customHeight="1" x14ac:dyDescent="0.25"/>
    <row r="940" spans="2:7" ht="47.25" customHeight="1" x14ac:dyDescent="0.25">
      <c r="G940" s="145"/>
    </row>
    <row r="941" spans="2:7" ht="54.75" customHeight="1" x14ac:dyDescent="0.25">
      <c r="B941" s="94"/>
      <c r="C941" s="94"/>
      <c r="D941" s="94"/>
      <c r="E941" s="94"/>
      <c r="F941" s="93"/>
      <c r="G941" s="145"/>
    </row>
    <row r="942" spans="2:7" x14ac:dyDescent="0.25">
      <c r="B942" s="94"/>
      <c r="C942" s="94"/>
      <c r="D942" s="94"/>
      <c r="E942" s="94"/>
      <c r="F942" s="93"/>
    </row>
    <row r="943" spans="2:7" ht="42.75" customHeight="1" x14ac:dyDescent="0.25">
      <c r="G943" s="145"/>
    </row>
    <row r="944" spans="2:7" x14ac:dyDescent="0.25">
      <c r="B944" s="94"/>
      <c r="C944" s="94"/>
      <c r="D944" s="94"/>
      <c r="E944" s="94"/>
    </row>
    <row r="945" spans="2:7" x14ac:dyDescent="0.25">
      <c r="G945" s="145"/>
    </row>
    <row r="946" spans="2:7" x14ac:dyDescent="0.25">
      <c r="B946" s="94"/>
      <c r="C946" s="94"/>
      <c r="D946" s="94"/>
      <c r="E946" s="94"/>
      <c r="G946" s="145"/>
    </row>
    <row r="947" spans="2:7" x14ac:dyDescent="0.25">
      <c r="B947" s="94"/>
      <c r="C947" s="94"/>
      <c r="D947" s="94"/>
      <c r="E947" s="94"/>
    </row>
    <row r="948" spans="2:7" x14ac:dyDescent="0.25">
      <c r="G948" s="145"/>
    </row>
    <row r="949" spans="2:7" ht="50.25" customHeight="1" x14ac:dyDescent="0.25">
      <c r="B949" s="94"/>
      <c r="C949" s="94"/>
      <c r="D949" s="94"/>
      <c r="E949" s="94"/>
      <c r="F949" s="93"/>
    </row>
    <row r="950" spans="2:7" x14ac:dyDescent="0.25">
      <c r="G950" s="145"/>
    </row>
    <row r="951" spans="2:7" x14ac:dyDescent="0.25">
      <c r="B951" s="94"/>
      <c r="C951" s="94"/>
      <c r="D951" s="94"/>
      <c r="E951" s="94"/>
      <c r="F951" s="93"/>
    </row>
    <row r="952" spans="2:7" x14ac:dyDescent="0.25">
      <c r="G952" s="145"/>
    </row>
    <row r="953" spans="2:7" ht="52.5" customHeight="1" x14ac:dyDescent="0.25">
      <c r="B953" s="94"/>
      <c r="C953" s="94"/>
      <c r="D953" s="94"/>
      <c r="E953" s="94"/>
      <c r="F953" s="93"/>
      <c r="G953" s="145"/>
    </row>
    <row r="954" spans="2:7" x14ac:dyDescent="0.25">
      <c r="B954" s="94"/>
      <c r="C954" s="94"/>
      <c r="D954" s="94"/>
      <c r="E954" s="94"/>
      <c r="F954" s="93"/>
    </row>
    <row r="956" spans="2:7" x14ac:dyDescent="0.25">
      <c r="G956" s="145"/>
    </row>
    <row r="957" spans="2:7" x14ac:dyDescent="0.25">
      <c r="B957" s="94"/>
      <c r="C957" s="94"/>
      <c r="D957" s="94"/>
      <c r="E957" s="94"/>
    </row>
    <row r="959" spans="2:7" x14ac:dyDescent="0.25">
      <c r="G959" s="145"/>
    </row>
    <row r="960" spans="2:7" ht="79.5" customHeight="1" x14ac:dyDescent="0.25">
      <c r="B960" s="94"/>
      <c r="C960" s="94"/>
      <c r="D960" s="94"/>
      <c r="E960" s="94"/>
      <c r="F960" s="93"/>
    </row>
    <row r="961" spans="2:7" ht="27.75" customHeight="1" x14ac:dyDescent="0.25"/>
    <row r="962" spans="2:7" x14ac:dyDescent="0.25">
      <c r="G962" s="145"/>
    </row>
    <row r="963" spans="2:7" x14ac:dyDescent="0.25">
      <c r="B963" s="94"/>
      <c r="C963" s="94"/>
      <c r="D963" s="94"/>
      <c r="E963" s="94"/>
      <c r="G963" s="145"/>
    </row>
    <row r="964" spans="2:7" x14ac:dyDescent="0.25">
      <c r="B964" s="94"/>
      <c r="C964" s="94"/>
      <c r="D964" s="94"/>
      <c r="E964" s="94"/>
      <c r="F964" s="93"/>
    </row>
    <row r="965" spans="2:7" x14ac:dyDescent="0.25">
      <c r="G965" s="145"/>
    </row>
    <row r="966" spans="2:7" x14ac:dyDescent="0.25">
      <c r="B966" s="94"/>
      <c r="C966" s="94"/>
      <c r="D966" s="94"/>
      <c r="E966" s="94"/>
    </row>
    <row r="967" spans="2:7" x14ac:dyDescent="0.25">
      <c r="G967" s="145"/>
    </row>
    <row r="968" spans="2:7" ht="53.25" customHeight="1" x14ac:dyDescent="0.25">
      <c r="B968" s="94"/>
      <c r="C968" s="94"/>
      <c r="D968" s="94"/>
      <c r="E968" s="94"/>
    </row>
    <row r="969" spans="2:7" x14ac:dyDescent="0.25">
      <c r="G969" s="145"/>
    </row>
    <row r="970" spans="2:7" ht="42.75" customHeight="1" x14ac:dyDescent="0.25">
      <c r="B970" s="94"/>
      <c r="C970" s="94"/>
      <c r="D970" s="94"/>
      <c r="E970" s="94"/>
      <c r="F970" s="93"/>
      <c r="G970" s="145"/>
    </row>
    <row r="971" spans="2:7" x14ac:dyDescent="0.25">
      <c r="B971" s="94"/>
      <c r="C971" s="94"/>
      <c r="D971" s="94"/>
      <c r="E971" s="94"/>
      <c r="F971" s="93"/>
    </row>
    <row r="972" spans="2:7" ht="113.25" customHeight="1" x14ac:dyDescent="0.25">
      <c r="G972" s="145"/>
    </row>
    <row r="973" spans="2:7" ht="18.75" customHeight="1" x14ac:dyDescent="0.25">
      <c r="B973" s="94"/>
      <c r="C973" s="94"/>
      <c r="D973" s="94"/>
      <c r="E973" s="94"/>
      <c r="F973" s="93"/>
      <c r="G973" s="145"/>
    </row>
    <row r="974" spans="2:7" x14ac:dyDescent="0.25">
      <c r="B974" s="94"/>
      <c r="C974" s="94"/>
      <c r="D974" s="94"/>
      <c r="E974" s="94"/>
      <c r="G974" s="145"/>
    </row>
    <row r="975" spans="2:7" x14ac:dyDescent="0.25">
      <c r="B975" s="94"/>
      <c r="C975" s="94"/>
      <c r="D975" s="94"/>
      <c r="E975" s="94"/>
      <c r="F975" s="93"/>
      <c r="G975" s="145"/>
    </row>
    <row r="976" spans="2:7" x14ac:dyDescent="0.25">
      <c r="B976" s="94"/>
      <c r="C976" s="94"/>
      <c r="D976" s="94"/>
      <c r="E976" s="94"/>
      <c r="G976" s="145"/>
    </row>
    <row r="977" spans="2:7" x14ac:dyDescent="0.25">
      <c r="B977" s="94"/>
      <c r="C977" s="94"/>
      <c r="D977" s="94"/>
      <c r="E977" s="94"/>
      <c r="F977" s="93"/>
      <c r="G977" s="145"/>
    </row>
    <row r="978" spans="2:7" x14ac:dyDescent="0.25">
      <c r="B978" s="94"/>
      <c r="C978" s="94"/>
      <c r="D978" s="94"/>
      <c r="E978" s="94"/>
      <c r="F978" s="93"/>
    </row>
    <row r="979" spans="2:7" ht="53.25" customHeight="1" x14ac:dyDescent="0.25">
      <c r="G979" s="145"/>
    </row>
    <row r="980" spans="2:7" x14ac:dyDescent="0.25">
      <c r="B980" s="94"/>
      <c r="C980" s="94"/>
      <c r="D980" s="94"/>
      <c r="E980" s="94"/>
      <c r="F980" s="93"/>
      <c r="G980" s="145"/>
    </row>
    <row r="981" spans="2:7" x14ac:dyDescent="0.25">
      <c r="B981" s="94"/>
      <c r="C981" s="94"/>
      <c r="D981" s="94"/>
      <c r="E981" s="94"/>
      <c r="F981" s="93"/>
      <c r="G981" s="145"/>
    </row>
    <row r="982" spans="2:7" x14ac:dyDescent="0.25">
      <c r="B982" s="94"/>
      <c r="C982" s="94"/>
      <c r="D982" s="94"/>
      <c r="E982" s="94"/>
      <c r="F982" s="93"/>
      <c r="G982" s="145"/>
    </row>
    <row r="983" spans="2:7" ht="51" customHeight="1" x14ac:dyDescent="0.25">
      <c r="B983" s="94"/>
      <c r="C983" s="94"/>
      <c r="D983" s="94"/>
      <c r="E983" s="94"/>
      <c r="F983" s="93"/>
      <c r="G983" s="145"/>
    </row>
    <row r="984" spans="2:7" x14ac:dyDescent="0.25">
      <c r="B984" s="94"/>
      <c r="C984" s="94"/>
      <c r="D984" s="94"/>
      <c r="E984" s="94"/>
    </row>
    <row r="985" spans="2:7" x14ac:dyDescent="0.25">
      <c r="G985" s="145"/>
    </row>
    <row r="986" spans="2:7" x14ac:dyDescent="0.25">
      <c r="B986" s="94"/>
      <c r="C986" s="94"/>
      <c r="D986" s="94"/>
      <c r="E986" s="94"/>
    </row>
    <row r="987" spans="2:7" x14ac:dyDescent="0.25">
      <c r="G987" s="145"/>
    </row>
    <row r="988" spans="2:7" x14ac:dyDescent="0.25">
      <c r="B988" s="94"/>
      <c r="C988" s="94"/>
      <c r="D988" s="94"/>
      <c r="E988" s="94"/>
      <c r="F988" s="93"/>
    </row>
    <row r="989" spans="2:7" ht="27" customHeight="1" x14ac:dyDescent="0.25">
      <c r="G989" s="145"/>
    </row>
    <row r="990" spans="2:7" ht="17.25" customHeight="1" x14ac:dyDescent="0.25">
      <c r="B990" s="94"/>
      <c r="C990" s="94"/>
      <c r="D990" s="94"/>
      <c r="E990" s="94"/>
      <c r="G990" s="145"/>
    </row>
    <row r="991" spans="2:7" x14ac:dyDescent="0.25">
      <c r="B991" s="94"/>
      <c r="C991" s="94"/>
      <c r="D991" s="94"/>
      <c r="E991" s="94"/>
      <c r="F991" s="93"/>
    </row>
    <row r="992" spans="2:7" ht="38.25" customHeight="1" x14ac:dyDescent="0.25">
      <c r="G992" s="145"/>
    </row>
    <row r="993" spans="2:7" x14ac:dyDescent="0.25">
      <c r="B993" s="94"/>
      <c r="C993" s="94"/>
      <c r="D993" s="94"/>
      <c r="E993" s="94"/>
      <c r="F993" s="93"/>
      <c r="G993" s="145"/>
    </row>
    <row r="994" spans="2:7" ht="20.25" customHeight="1" x14ac:dyDescent="0.25">
      <c r="B994" s="94"/>
      <c r="C994" s="94"/>
      <c r="D994" s="94"/>
      <c r="E994" s="94"/>
    </row>
    <row r="996" spans="2:7" ht="127.5" customHeight="1" x14ac:dyDescent="0.25">
      <c r="G996" s="145"/>
    </row>
    <row r="997" spans="2:7" ht="42" customHeight="1" x14ac:dyDescent="0.25">
      <c r="B997" s="94"/>
      <c r="C997" s="94"/>
      <c r="D997" s="94"/>
      <c r="E997" s="94"/>
      <c r="F997" s="93"/>
    </row>
    <row r="999" spans="2:7" ht="42" customHeight="1" x14ac:dyDescent="0.25">
      <c r="G999" s="145"/>
    </row>
    <row r="1000" spans="2:7" ht="129.75" customHeight="1" x14ac:dyDescent="0.25">
      <c r="B1000" s="94"/>
      <c r="C1000" s="94"/>
      <c r="D1000" s="94"/>
      <c r="E1000" s="94"/>
      <c r="G1000" s="145"/>
    </row>
    <row r="1001" spans="2:7" ht="27" customHeight="1" x14ac:dyDescent="0.25">
      <c r="B1001" s="94"/>
      <c r="C1001" s="94"/>
      <c r="D1001" s="94"/>
      <c r="E1001" s="94"/>
      <c r="F1001" s="93"/>
      <c r="G1001" s="145"/>
    </row>
    <row r="1002" spans="2:7" ht="44.25" customHeight="1" x14ac:dyDescent="0.25">
      <c r="B1002" s="94"/>
      <c r="C1002" s="94"/>
      <c r="D1002" s="94"/>
      <c r="E1002" s="94"/>
    </row>
    <row r="1006" spans="2:7" x14ac:dyDescent="0.25">
      <c r="G1006" s="145"/>
    </row>
    <row r="1007" spans="2:7" ht="33" customHeight="1" x14ac:dyDescent="0.25">
      <c r="B1007" s="94"/>
      <c r="C1007" s="94"/>
      <c r="D1007" s="94"/>
      <c r="E1007" s="94"/>
      <c r="F1007" s="93"/>
      <c r="G1007" s="145"/>
    </row>
    <row r="1008" spans="2:7" x14ac:dyDescent="0.25">
      <c r="B1008" s="94"/>
      <c r="C1008" s="94"/>
      <c r="D1008" s="94"/>
      <c r="E1008" s="94"/>
      <c r="F1008" s="93"/>
      <c r="G1008" s="145"/>
    </row>
    <row r="1009" spans="2:7" x14ac:dyDescent="0.25">
      <c r="B1009" s="94"/>
      <c r="C1009" s="94"/>
      <c r="D1009" s="94"/>
      <c r="E1009" s="94"/>
      <c r="F1009" s="93"/>
      <c r="G1009" s="145"/>
    </row>
    <row r="1010" spans="2:7" ht="22.5" customHeight="1" x14ac:dyDescent="0.25">
      <c r="B1010" s="94"/>
      <c r="C1010" s="94"/>
      <c r="D1010" s="94"/>
      <c r="E1010" s="94"/>
      <c r="G1010" s="145"/>
    </row>
    <row r="1011" spans="2:7" x14ac:dyDescent="0.25">
      <c r="B1011" s="94"/>
      <c r="C1011" s="94"/>
      <c r="D1011" s="94"/>
      <c r="E1011" s="94"/>
    </row>
    <row r="1012" spans="2:7" ht="57" customHeight="1" x14ac:dyDescent="0.25"/>
    <row r="1014" spans="2:7" x14ac:dyDescent="0.25">
      <c r="G1014" s="145"/>
    </row>
    <row r="1015" spans="2:7" x14ac:dyDescent="0.25">
      <c r="B1015" s="94"/>
      <c r="C1015" s="94"/>
      <c r="D1015" s="94"/>
      <c r="E1015" s="94"/>
      <c r="G1015" s="145"/>
    </row>
    <row r="1016" spans="2:7" ht="49.5" customHeight="1" x14ac:dyDescent="0.25">
      <c r="B1016" s="94"/>
      <c r="C1016" s="94"/>
      <c r="D1016" s="94"/>
      <c r="E1016" s="94"/>
      <c r="F1016" s="93"/>
      <c r="G1016" s="145"/>
    </row>
    <row r="1017" spans="2:7" x14ac:dyDescent="0.25">
      <c r="B1017" s="94"/>
      <c r="C1017" s="94"/>
      <c r="D1017" s="94"/>
      <c r="E1017" s="94"/>
      <c r="F1017" s="93"/>
      <c r="G1017" s="145"/>
    </row>
    <row r="1018" spans="2:7" x14ac:dyDescent="0.25">
      <c r="B1018" s="94"/>
      <c r="C1018" s="94"/>
      <c r="D1018" s="94"/>
      <c r="E1018" s="94"/>
      <c r="F1018" s="93"/>
    </row>
    <row r="1020" spans="2:7" ht="48.75" customHeight="1" x14ac:dyDescent="0.25">
      <c r="G1020" s="145"/>
    </row>
    <row r="1021" spans="2:7" x14ac:dyDescent="0.25">
      <c r="B1021" s="94"/>
      <c r="C1021" s="94"/>
      <c r="D1021" s="94"/>
      <c r="E1021" s="94"/>
      <c r="G1021" s="145"/>
    </row>
    <row r="1022" spans="2:7" x14ac:dyDescent="0.25">
      <c r="B1022" s="94"/>
      <c r="C1022" s="94"/>
      <c r="D1022" s="94"/>
      <c r="E1022" s="94"/>
      <c r="F1022" s="93"/>
      <c r="G1022" s="145"/>
    </row>
    <row r="1023" spans="2:7" x14ac:dyDescent="0.25">
      <c r="B1023" s="94"/>
      <c r="C1023" s="94"/>
      <c r="D1023" s="94"/>
      <c r="E1023" s="94"/>
      <c r="F1023" s="93"/>
    </row>
    <row r="1026" spans="2:7" ht="84" customHeight="1" x14ac:dyDescent="0.25"/>
    <row r="1027" spans="2:7" ht="34.5" customHeight="1" x14ac:dyDescent="0.25">
      <c r="G1027" s="145"/>
    </row>
    <row r="1028" spans="2:7" ht="24.75" customHeight="1" x14ac:dyDescent="0.25">
      <c r="B1028" s="94"/>
      <c r="C1028" s="94"/>
      <c r="D1028" s="94"/>
      <c r="E1028" s="94"/>
      <c r="F1028" s="93"/>
    </row>
    <row r="1029" spans="2:7" x14ac:dyDescent="0.25">
      <c r="G1029" s="145"/>
    </row>
    <row r="1030" spans="2:7" x14ac:dyDescent="0.25">
      <c r="B1030" s="94"/>
      <c r="C1030" s="94"/>
      <c r="D1030" s="94"/>
      <c r="E1030" s="94"/>
    </row>
    <row r="1033" spans="2:7" x14ac:dyDescent="0.25">
      <c r="G1033" s="145"/>
    </row>
    <row r="1034" spans="2:7" x14ac:dyDescent="0.25">
      <c r="B1034" s="94"/>
      <c r="C1034" s="94"/>
      <c r="D1034" s="94"/>
      <c r="E1034" s="94"/>
    </row>
    <row r="1035" spans="2:7" ht="36" customHeight="1" x14ac:dyDescent="0.25">
      <c r="G1035" s="145"/>
    </row>
    <row r="1036" spans="2:7" ht="111.75" customHeight="1" x14ac:dyDescent="0.25">
      <c r="B1036" s="94"/>
      <c r="C1036" s="94"/>
      <c r="D1036" s="94"/>
      <c r="E1036" s="94"/>
      <c r="G1036" s="145"/>
    </row>
    <row r="1037" spans="2:7" ht="27.75" customHeight="1" x14ac:dyDescent="0.25">
      <c r="B1037" s="94"/>
      <c r="C1037" s="94"/>
      <c r="D1037" s="94"/>
      <c r="E1037" s="94"/>
      <c r="F1037" s="93"/>
    </row>
    <row r="1040" spans="2:7" x14ac:dyDescent="0.25">
      <c r="G1040" s="145"/>
    </row>
    <row r="1041" spans="2:7" ht="111.75" customHeight="1" x14ac:dyDescent="0.25">
      <c r="B1041" s="94"/>
      <c r="C1041" s="94"/>
      <c r="D1041" s="94"/>
      <c r="E1041" s="94"/>
      <c r="F1041" s="93"/>
      <c r="G1041" s="145"/>
    </row>
    <row r="1042" spans="2:7" ht="42.75" customHeight="1" x14ac:dyDescent="0.25">
      <c r="B1042" s="94"/>
      <c r="C1042" s="94"/>
      <c r="D1042" s="94"/>
      <c r="E1042" s="94"/>
      <c r="G1042" s="145"/>
    </row>
    <row r="1043" spans="2:7" x14ac:dyDescent="0.25">
      <c r="B1043" s="94"/>
      <c r="C1043" s="94"/>
      <c r="D1043" s="94"/>
      <c r="E1043" s="94"/>
      <c r="F1043" s="93"/>
      <c r="G1043" s="145"/>
    </row>
    <row r="1044" spans="2:7" x14ac:dyDescent="0.25">
      <c r="B1044" s="94"/>
      <c r="C1044" s="94"/>
      <c r="D1044" s="94"/>
      <c r="E1044" s="94"/>
      <c r="F1044" s="93"/>
    </row>
    <row r="1046" spans="2:7" x14ac:dyDescent="0.25">
      <c r="G1046" s="145"/>
    </row>
    <row r="1047" spans="2:7" ht="51.75" customHeight="1" x14ac:dyDescent="0.25">
      <c r="B1047" s="94"/>
      <c r="C1047" s="94"/>
      <c r="D1047" s="94"/>
      <c r="E1047" s="94"/>
      <c r="G1047" s="145"/>
    </row>
    <row r="1048" spans="2:7" x14ac:dyDescent="0.25">
      <c r="B1048" s="94"/>
      <c r="C1048" s="94"/>
      <c r="D1048" s="94"/>
      <c r="E1048" s="94"/>
      <c r="G1048" s="145"/>
    </row>
    <row r="1049" spans="2:7" x14ac:dyDescent="0.25">
      <c r="B1049" s="94"/>
      <c r="C1049" s="94"/>
      <c r="D1049" s="94"/>
      <c r="E1049" s="94"/>
      <c r="F1049" s="93"/>
      <c r="G1049" s="145"/>
    </row>
    <row r="1050" spans="2:7" x14ac:dyDescent="0.25">
      <c r="B1050" s="94"/>
      <c r="C1050" s="94"/>
      <c r="D1050" s="94"/>
      <c r="E1050" s="94"/>
      <c r="F1050" s="93"/>
      <c r="G1050" s="145"/>
    </row>
    <row r="1051" spans="2:7" x14ac:dyDescent="0.25">
      <c r="B1051" s="94"/>
      <c r="C1051" s="94"/>
      <c r="D1051" s="94"/>
      <c r="E1051" s="94"/>
      <c r="G1051" s="145"/>
    </row>
    <row r="1052" spans="2:7" x14ac:dyDescent="0.25">
      <c r="B1052" s="94"/>
      <c r="C1052" s="94"/>
      <c r="D1052" s="94"/>
      <c r="E1052" s="94"/>
    </row>
    <row r="1053" spans="2:7" x14ac:dyDescent="0.25">
      <c r="G1053" s="145"/>
    </row>
    <row r="1054" spans="2:7" x14ac:dyDescent="0.25">
      <c r="B1054" s="94"/>
      <c r="C1054" s="94"/>
      <c r="D1054" s="94"/>
      <c r="E1054" s="94"/>
      <c r="F1054" s="93"/>
      <c r="G1054" s="145"/>
    </row>
    <row r="1055" spans="2:7" x14ac:dyDescent="0.25">
      <c r="B1055" s="94"/>
      <c r="C1055" s="94"/>
      <c r="D1055" s="94"/>
      <c r="E1055" s="94"/>
      <c r="F1055" s="93"/>
      <c r="G1055" s="145"/>
    </row>
    <row r="1056" spans="2:7" ht="50.25" customHeight="1" x14ac:dyDescent="0.25">
      <c r="B1056" s="94"/>
      <c r="C1056" s="94"/>
      <c r="D1056" s="94"/>
      <c r="E1056" s="94"/>
    </row>
    <row r="1057" spans="2:7" x14ac:dyDescent="0.25">
      <c r="G1057" s="145"/>
    </row>
    <row r="1058" spans="2:7" x14ac:dyDescent="0.25">
      <c r="B1058" s="94"/>
      <c r="C1058" s="94"/>
      <c r="D1058" s="94"/>
      <c r="E1058" s="94"/>
      <c r="F1058" s="93"/>
      <c r="G1058" s="145"/>
    </row>
    <row r="1059" spans="2:7" x14ac:dyDescent="0.25">
      <c r="B1059" s="94"/>
      <c r="C1059" s="94"/>
      <c r="D1059" s="94"/>
      <c r="E1059" s="94"/>
      <c r="F1059" s="93"/>
      <c r="G1059" s="145"/>
    </row>
    <row r="1060" spans="2:7" ht="51" customHeight="1" x14ac:dyDescent="0.25">
      <c r="B1060" s="94"/>
      <c r="C1060" s="94"/>
      <c r="D1060" s="94"/>
      <c r="E1060" s="94"/>
      <c r="G1060" s="145"/>
    </row>
    <row r="1061" spans="2:7" x14ac:dyDescent="0.25">
      <c r="B1061" s="94"/>
      <c r="C1061" s="94"/>
      <c r="D1061" s="94"/>
      <c r="E1061" s="94"/>
      <c r="F1061" s="93"/>
      <c r="G1061" s="145"/>
    </row>
    <row r="1062" spans="2:7" ht="41.25" customHeight="1" x14ac:dyDescent="0.25">
      <c r="B1062" s="94"/>
      <c r="C1062" s="94"/>
      <c r="D1062" s="94"/>
      <c r="E1062" s="94"/>
      <c r="F1062" s="93"/>
      <c r="G1062" s="145"/>
    </row>
    <row r="1063" spans="2:7" ht="23.25" customHeight="1" x14ac:dyDescent="0.25">
      <c r="B1063" s="94"/>
      <c r="C1063" s="94"/>
      <c r="D1063" s="94"/>
      <c r="E1063" s="94"/>
      <c r="F1063" s="93"/>
      <c r="G1063" s="145"/>
    </row>
    <row r="1064" spans="2:7" x14ac:dyDescent="0.25">
      <c r="B1064" s="94"/>
      <c r="C1064" s="94"/>
      <c r="D1064" s="94"/>
      <c r="E1064" s="94"/>
      <c r="G1064" s="145"/>
    </row>
    <row r="1065" spans="2:7" x14ac:dyDescent="0.25">
      <c r="B1065" s="94"/>
      <c r="C1065" s="94"/>
      <c r="D1065" s="94"/>
      <c r="E1065" s="94"/>
      <c r="F1065" s="93"/>
      <c r="G1065" s="145"/>
    </row>
    <row r="1066" spans="2:7" x14ac:dyDescent="0.25">
      <c r="B1066" s="94"/>
      <c r="C1066" s="94"/>
      <c r="D1066" s="94"/>
      <c r="E1066" s="94"/>
      <c r="F1066" s="93"/>
      <c r="G1066" s="145"/>
    </row>
    <row r="1067" spans="2:7" x14ac:dyDescent="0.25">
      <c r="B1067" s="94"/>
      <c r="C1067" s="94"/>
      <c r="D1067" s="94"/>
      <c r="E1067" s="94"/>
      <c r="F1067" s="93"/>
    </row>
    <row r="1068" spans="2:7" ht="50.25" customHeight="1" x14ac:dyDescent="0.25"/>
    <row r="1069" spans="2:7" ht="22.5" customHeight="1" x14ac:dyDescent="0.25"/>
    <row r="1071" spans="2:7" x14ac:dyDescent="0.25">
      <c r="F1071" s="93"/>
    </row>
    <row r="1073" spans="2:7" ht="114" customHeight="1" x14ac:dyDescent="0.25">
      <c r="F1073" s="93"/>
    </row>
    <row r="1074" spans="2:7" ht="24.75" customHeight="1" x14ac:dyDescent="0.25">
      <c r="F1074" s="93"/>
    </row>
    <row r="1077" spans="2:7" ht="81.75" customHeight="1" x14ac:dyDescent="0.25">
      <c r="G1077" s="145"/>
    </row>
    <row r="1078" spans="2:7" ht="22.5" customHeight="1" x14ac:dyDescent="0.25">
      <c r="B1078" s="94"/>
      <c r="C1078" s="94"/>
      <c r="D1078" s="94"/>
      <c r="E1078" s="94"/>
      <c r="F1078" s="94"/>
    </row>
    <row r="1079" spans="2:7" x14ac:dyDescent="0.25">
      <c r="G1079" s="145"/>
    </row>
    <row r="1080" spans="2:7" ht="28.5" customHeight="1" x14ac:dyDescent="0.25">
      <c r="B1080" s="94"/>
      <c r="C1080" s="94"/>
      <c r="D1080" s="94"/>
      <c r="E1080" s="94"/>
      <c r="F1080" s="94"/>
      <c r="G1080" s="145"/>
    </row>
    <row r="1081" spans="2:7" ht="130.5" customHeight="1" x14ac:dyDescent="0.25">
      <c r="B1081" s="94"/>
      <c r="C1081" s="94"/>
      <c r="D1081" s="94"/>
      <c r="E1081" s="94"/>
      <c r="F1081" s="94"/>
      <c r="G1081" s="145"/>
    </row>
    <row r="1082" spans="2:7" ht="24.75" customHeight="1" x14ac:dyDescent="0.25">
      <c r="B1082" s="94"/>
      <c r="C1082" s="94"/>
      <c r="D1082" s="94"/>
      <c r="E1082" s="94"/>
      <c r="F1082" s="94"/>
    </row>
    <row r="1083" spans="2:7" x14ac:dyDescent="0.25">
      <c r="G1083" s="145"/>
    </row>
    <row r="1084" spans="2:7" ht="24" customHeight="1" x14ac:dyDescent="0.25">
      <c r="B1084" s="94"/>
      <c r="C1084" s="94"/>
      <c r="D1084" s="94"/>
      <c r="E1084" s="94"/>
      <c r="F1084" s="94"/>
      <c r="G1084" s="145"/>
    </row>
    <row r="1085" spans="2:7" ht="80.25" customHeight="1" x14ac:dyDescent="0.25">
      <c r="B1085" s="94"/>
      <c r="C1085" s="94"/>
      <c r="D1085" s="94"/>
      <c r="E1085" s="94"/>
      <c r="F1085" s="94"/>
      <c r="G1085" s="145"/>
    </row>
    <row r="1086" spans="2:7" ht="21.75" customHeight="1" x14ac:dyDescent="0.25">
      <c r="B1086" s="94"/>
      <c r="C1086" s="94"/>
      <c r="D1086" s="94"/>
      <c r="E1086" s="94"/>
      <c r="F1086" s="94"/>
    </row>
    <row r="1089" spans="1:7" x14ac:dyDescent="0.25">
      <c r="G1089" s="145"/>
    </row>
    <row r="1090" spans="1:7" ht="45.75" customHeight="1" x14ac:dyDescent="0.25">
      <c r="B1090" s="94"/>
      <c r="C1090" s="94"/>
      <c r="D1090" s="94"/>
      <c r="E1090" s="94"/>
      <c r="F1090" s="94"/>
    </row>
    <row r="1091" spans="1:7" x14ac:dyDescent="0.25">
      <c r="G1091" s="145"/>
    </row>
    <row r="1092" spans="1:7" ht="51.75" customHeight="1" x14ac:dyDescent="0.25">
      <c r="B1092" s="94"/>
      <c r="C1092" s="94"/>
      <c r="D1092" s="94"/>
      <c r="E1092" s="94"/>
      <c r="F1092" s="94"/>
      <c r="G1092" s="145"/>
    </row>
    <row r="1093" spans="1:7" ht="51.75" customHeight="1" x14ac:dyDescent="0.25">
      <c r="B1093" s="94"/>
      <c r="C1093" s="94"/>
      <c r="D1093" s="94"/>
      <c r="E1093" s="94"/>
      <c r="F1093" s="94"/>
    </row>
    <row r="1096" spans="1:7" ht="47.25" customHeight="1" x14ac:dyDescent="0.25"/>
    <row r="1097" spans="1:7" ht="52.5" customHeight="1" x14ac:dyDescent="0.25"/>
    <row r="1102" spans="1:7" s="102" customFormat="1" x14ac:dyDescent="0.25">
      <c r="A1102" s="103"/>
      <c r="B1102" s="92"/>
      <c r="C1102" s="93"/>
      <c r="D1102" s="92"/>
      <c r="E1102" s="92"/>
      <c r="F1102" s="92"/>
      <c r="G1102" s="8"/>
    </row>
    <row r="1103" spans="1:7" s="102" customFormat="1" x14ac:dyDescent="0.25">
      <c r="A1103" s="103"/>
      <c r="B1103" s="92"/>
      <c r="C1103" s="93"/>
      <c r="D1103" s="92"/>
      <c r="E1103" s="92"/>
      <c r="F1103" s="92"/>
      <c r="G1103" s="8"/>
    </row>
    <row r="1104" spans="1:7" s="102" customFormat="1" x14ac:dyDescent="0.25">
      <c r="A1104" s="103"/>
      <c r="B1104" s="92"/>
      <c r="C1104" s="93"/>
      <c r="D1104" s="92"/>
      <c r="E1104" s="92"/>
      <c r="F1104" s="92"/>
      <c r="G1104" s="8"/>
    </row>
  </sheetData>
  <autoFilter ref="A18:O685"/>
  <mergeCells count="8">
    <mergeCell ref="A684:B684"/>
    <mergeCell ref="A685:B685"/>
    <mergeCell ref="A683:B683"/>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Width="0" fitToHeight="6" orientation="landscape" r:id="rId1"/>
  <headerFooter differentFirst="1" alignWithMargins="0">
    <oddHeader>&amp;C&amp;"Times New Roman,обычный"&amp;P</oddHeader>
  </headerFooter>
  <rowBreaks count="1" manualBreakCount="1">
    <brk id="68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2026-02-19T12:39:52Z</cp:lastPrinted>
  <dcterms:created xsi:type="dcterms:W3CDTF">2008-10-22T15:37:46Z</dcterms:created>
  <dcterms:modified xsi:type="dcterms:W3CDTF">2026-02-27T09:18:32Z</dcterms:modified>
</cp:coreProperties>
</file>